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" windowWidth="11685" windowHeight="6645" firstSheet="2" activeTab="6"/>
  </bookViews>
  <sheets>
    <sheet name="Instructions" sheetId="1" r:id="rId1"/>
    <sheet name="Race Meet" sheetId="2" r:id="rId2"/>
    <sheet name="RaceControl" sheetId="3" r:id="rId3"/>
    <sheet name="Classic" sheetId="4" r:id="rId4"/>
    <sheet name="Stock" sheetId="5" r:id="rId5"/>
    <sheet name="Modified" sheetId="6" r:id="rId6"/>
    <sheet name="RO" sheetId="7" r:id="rId7"/>
    <sheet name="Junior" sheetId="8" r:id="rId8"/>
    <sheet name="Classic Points" sheetId="9" r:id="rId9"/>
    <sheet name="Classic Laps" sheetId="10" r:id="rId10"/>
    <sheet name="Stock Points" sheetId="11" r:id="rId11"/>
    <sheet name="Stock Handicaps" sheetId="12" r:id="rId12"/>
    <sheet name="Modified Points" sheetId="13" r:id="rId13"/>
    <sheet name="RO Points" sheetId="14" r:id="rId14"/>
    <sheet name="Work" sheetId="15" r:id="rId15"/>
  </sheets>
  <definedNames>
    <definedName name="Classes">#REF!</definedName>
    <definedName name="ClassicDrivers">'Classic Points'!$B$2:$B$50</definedName>
    <definedName name="countdowntimes">'Instructions'!$E$4:$E$14</definedName>
    <definedName name="Divisions">#REF!</definedName>
    <definedName name="Draw">#REF!</definedName>
    <definedName name="Events">'Instructions'!$E$19:$E$23</definedName>
    <definedName name="Final">#REF!</definedName>
    <definedName name="Heats">#REF!</definedName>
    <definedName name="Results">#REF!</definedName>
    <definedName name="Results_Stock_Race" localSheetId="14">'Work'!$E$1:$F$17</definedName>
    <definedName name="Results_Stock_Race_1" localSheetId="14">'Work'!$E$1:$F$17</definedName>
    <definedName name="Results_Stock_Race_10" localSheetId="14">'Work'!$C$1:$D$17</definedName>
    <definedName name="Results_Stock_Race_11" localSheetId="14">'Work'!$C$1:$D$17</definedName>
    <definedName name="Results_Stock_Race_12" localSheetId="14">'Work'!$C$1:$D$17</definedName>
    <definedName name="Results_Stock_Race_13" localSheetId="14">'Work'!$C$1:$D$17</definedName>
    <definedName name="Results_Stock_Race_14" localSheetId="14">'Work'!$C$1:$D$17</definedName>
    <definedName name="Results_Stock_Race_15" localSheetId="14">'Work'!$C$1:$D$17</definedName>
    <definedName name="Results_Stock_Race_150" localSheetId="14">'Work'!$A$1:$B$45</definedName>
    <definedName name="Results_Stock_Race_151" localSheetId="14">'Work'!$A$1:$B$47</definedName>
    <definedName name="Results_Stock_Race_152" localSheetId="14">'Work'!$A$1:$B$45</definedName>
    <definedName name="Results_Stock_Race_153" localSheetId="14">'Work'!$A$1:$B$44</definedName>
    <definedName name="Results_Stock_Race_154" localSheetId="14">'Work'!$A$1:$B$42</definedName>
    <definedName name="Results_Stock_Race_155" localSheetId="14">'Work'!$A$1:$B$39</definedName>
    <definedName name="Results_Stock_Race_156" localSheetId="14">'Work'!$A$1:$B$44</definedName>
    <definedName name="Results_Stock_Race_157" localSheetId="14">'Work'!$A$1:$B$42</definedName>
    <definedName name="Results_Stock_Race_158" localSheetId="14">'Work'!$A$1:$B$44</definedName>
    <definedName name="Results_Stock_Race_159" localSheetId="14">'Work'!$A$1:$B$42</definedName>
    <definedName name="Results_Stock_Race_16" localSheetId="14">'Work'!$C$1:$D$17</definedName>
    <definedName name="Results_Stock_Race_160" localSheetId="14">'Work'!$A$1:$B$39</definedName>
    <definedName name="Results_Stock_Race_161" localSheetId="14">'Work'!$A$1:$B$43</definedName>
    <definedName name="Results_Stock_Race_162" localSheetId="14">'Work'!$A$1:$B$42</definedName>
    <definedName name="Results_Stock_Race_163" localSheetId="14">'Work'!$A$1:$B$43</definedName>
    <definedName name="Results_Stock_Race_164" localSheetId="14">'Work'!$A$1:$B$46</definedName>
    <definedName name="Results_Stock_Race_165" localSheetId="14">'Work'!$A$1:$B$58</definedName>
    <definedName name="Results_Stock_Race_166" localSheetId="14">'Work'!$A$1:$B$60</definedName>
    <definedName name="Results_Stock_Race_167" localSheetId="14">'Work'!$A$1:$B$54</definedName>
    <definedName name="Results_Stock_Race_168" localSheetId="14">'Work'!$A$1:$B$58</definedName>
    <definedName name="Results_Stock_Race_169" localSheetId="14">'Work'!$A$1:$B$56</definedName>
    <definedName name="Results_Stock_Race_17" localSheetId="14">'Work'!$C$1:$D$17</definedName>
    <definedName name="Results_Stock_Race_170" localSheetId="14">'Work'!$A$1:$B$58</definedName>
    <definedName name="Results_Stock_Race_171" localSheetId="14">'Work'!$A$1:$B$56</definedName>
    <definedName name="Results_Stock_Race_172" localSheetId="14">'Work'!$A$1:$B$63</definedName>
    <definedName name="Results_Stock_Race_173" localSheetId="14">'Work'!$A$1:$B$54</definedName>
    <definedName name="Results_Stock_Race_174" localSheetId="14">'Work'!$A$1:$B$58</definedName>
    <definedName name="Results_Stock_Race_175" localSheetId="14">'Work'!$A$1:$B$59</definedName>
    <definedName name="Results_Stock_Race_176" localSheetId="14">'Work'!$A$1:$B$62</definedName>
    <definedName name="Results_Stock_Race_177" localSheetId="14">'Work'!$A$1:$B$58</definedName>
    <definedName name="Results_Stock_Race_178" localSheetId="14">'Work'!$A$1:$B$7</definedName>
    <definedName name="Results_Stock_Race_179" localSheetId="14">'Work'!$A$1:$B$30</definedName>
    <definedName name="Results_Stock_Race_18" localSheetId="14">'Work'!$C$1:$D$17</definedName>
    <definedName name="Results_Stock_Race_180" localSheetId="14">'Work'!$A$1:$B$70</definedName>
    <definedName name="Results_Stock_Race_181" localSheetId="14">'Work'!$A$1:$B$72</definedName>
    <definedName name="Results_Stock_Race_182" localSheetId="14">'Work'!$A$1:$B$62</definedName>
    <definedName name="Results_Stock_Race_183" localSheetId="14">'Work'!$A$1:$B$68</definedName>
    <definedName name="Results_Stock_Race_184" localSheetId="14">'Work'!$A$1:$B$63</definedName>
    <definedName name="Results_Stock_Race_185" localSheetId="14">'Work'!$A$1:$B$66</definedName>
    <definedName name="Results_Stock_Race_186" localSheetId="14">'Work'!$A$1:$B$61</definedName>
    <definedName name="Results_Stock_Race_187" localSheetId="14">'Work'!$A$1:$B$65</definedName>
    <definedName name="Results_Stock_Race_188" localSheetId="14">'Work'!$A$1:$B$44</definedName>
    <definedName name="Results_Stock_Race_189" localSheetId="14">'Work'!$A$1:$B$47</definedName>
    <definedName name="Results_Stock_Race_19" localSheetId="14">'Work'!$C$1:$D$39</definedName>
    <definedName name="Results_Stock_Race_190" localSheetId="14">'Work'!$A$1:$B$43</definedName>
    <definedName name="Results_Stock_Race_191" localSheetId="14">'Work'!$A$1:$B$44</definedName>
    <definedName name="Results_Stock_Race_192" localSheetId="14">'Work'!$A$1:$B$66</definedName>
    <definedName name="Results_Stock_Race_193" localSheetId="14">'Work'!$A$1:$B$64</definedName>
    <definedName name="Results_Stock_Race_194" localSheetId="14">'Work'!$A$1:$B$64</definedName>
    <definedName name="Results_Stock_Race_195" localSheetId="14">'Work'!$A$1:$B$55</definedName>
    <definedName name="Results_Stock_Race_196" localSheetId="14">'Work'!$A$1:$B$62</definedName>
    <definedName name="Results_Stock_Race_197" localSheetId="14">'Work'!$A$1:$B$79</definedName>
    <definedName name="Results_Stock_Race_198" localSheetId="14">'Work'!$A$1:$B$79</definedName>
    <definedName name="Results_Stock_Race_199" localSheetId="14">'Work'!$A$1:$B$82</definedName>
    <definedName name="Results_Stock_Race_2" localSheetId="14">'Work'!$E$1:$F$17</definedName>
    <definedName name="Results_Stock_Race_20" localSheetId="14">'Work'!$C$1:$D$45</definedName>
    <definedName name="Results_Stock_Race_200" localSheetId="14">'Work'!$A$1:$B$90</definedName>
    <definedName name="Results_Stock_Race_201" localSheetId="14">'Work'!$A$1:$B$90</definedName>
    <definedName name="Results_Stock_Race_202" localSheetId="14">'Work'!$A$1:$B$91</definedName>
    <definedName name="Results_Stock_Race_203" localSheetId="14">'Work'!$A$1:$B$83</definedName>
    <definedName name="Results_Stock_Race_204" localSheetId="14">'Work'!$A$1:$B$86</definedName>
    <definedName name="Results_Stock_Race_205" localSheetId="14">'Work'!$A$1:$B$78</definedName>
    <definedName name="Results_Stock_Race_206" localSheetId="14">'Work'!$A$1:$B$74</definedName>
    <definedName name="Results_Stock_Race_207" localSheetId="14">'Work'!$A$1:$B$69</definedName>
    <definedName name="Results_Stock_Race_208" localSheetId="14">'Work'!$A$1:$B$82</definedName>
    <definedName name="Results_Stock_Race_209" localSheetId="14">'Work'!$A$1:$B$79</definedName>
    <definedName name="Results_Stock_Race_21" localSheetId="14">'Work'!$C$1:$D$43</definedName>
    <definedName name="Results_Stock_Race_210" localSheetId="14">'Work'!$A$1:$B$76</definedName>
    <definedName name="Results_Stock_Race_211" localSheetId="14">'Work'!$A$1:$B$77</definedName>
    <definedName name="Results_Stock_Race_212" localSheetId="14">'Work'!$A$1:$B$76</definedName>
    <definedName name="Results_Stock_Race_213" localSheetId="14">'Work'!$A$1:$B$83</definedName>
    <definedName name="Results_Stock_Race_214" localSheetId="14">'Work'!$A$1:$B$73</definedName>
    <definedName name="Results_Stock_Race_215" localSheetId="14">'Work'!$A$1:$B$84</definedName>
    <definedName name="Results_Stock_Race_216" localSheetId="14">'Work'!$A$1:$B$82</definedName>
    <definedName name="Results_Stock_Race_217" localSheetId="14">'Work'!$A$1:$B$76</definedName>
    <definedName name="Results_Stock_Race_218" localSheetId="14">'Work'!$A$1:$B$79</definedName>
    <definedName name="Results_Stock_Race_219" localSheetId="14">'Work'!$A$1:$B$488</definedName>
    <definedName name="Results_Stock_Race_22" localSheetId="14">'Work'!$C$1:$D$46</definedName>
    <definedName name="Results_Stock_Race_220" localSheetId="14">'Work'!$A$1:$B$327</definedName>
    <definedName name="Results_Stock_Race_221" localSheetId="14">'Work'!$A$1:$B$486</definedName>
    <definedName name="Results_Stock_Race_222" localSheetId="14">'Work'!$A$1:$B$463</definedName>
    <definedName name="Results_Stock_Race_223" localSheetId="14">'Work'!$A$1:$B$479</definedName>
    <definedName name="Results_Stock_Race_224" localSheetId="14">'Work'!$A$1:$B$316</definedName>
    <definedName name="Results_Stock_Race_225" localSheetId="14">'Work'!$A$1:$B$326</definedName>
    <definedName name="Results_Stock_Race_226" localSheetId="14">'Work'!$A$1:$B$331</definedName>
    <definedName name="Results_Stock_Race_227" localSheetId="14">'Work'!$A$1:$B$278</definedName>
    <definedName name="Results_Stock_Race_228" localSheetId="14">'Work'!$A$1:$B$266</definedName>
    <definedName name="Results_Stock_Race_229" localSheetId="14">'Work'!$A$1:$B$253</definedName>
    <definedName name="Results_Stock_Race_23" localSheetId="14">'Work'!$C$1:$D$43</definedName>
    <definedName name="Results_Stock_Race_230" localSheetId="14">'Work'!$A$1:$B$276</definedName>
    <definedName name="Results_Stock_Race_231" localSheetId="14">'Work'!$A$1:$B$158</definedName>
    <definedName name="Results_Stock_Race_232" localSheetId="14">'Work'!$A$1:$B$164</definedName>
    <definedName name="Results_Stock_Race_233" localSheetId="14">'Work'!$A$1:$B$164</definedName>
    <definedName name="Results_Stock_Race_234" localSheetId="14">'Work'!$A$1:$B$136</definedName>
    <definedName name="Results_Stock_Race_235" localSheetId="14">'Work'!$A$1:$B$171</definedName>
    <definedName name="Results_Stock_Race_236" localSheetId="14">'Work'!$A$1:$B$165</definedName>
    <definedName name="Results_Stock_Race_237" localSheetId="14">'Work'!$A$1:$B$186</definedName>
    <definedName name="Results_Stock_Race_238" localSheetId="14">'Work'!$A$1:$B$118</definedName>
    <definedName name="Results_Stock_Race_239" localSheetId="14">'Work'!$A$1:$B$103</definedName>
    <definedName name="Results_Stock_Race_24" localSheetId="14">'Work'!$C$1:$D$39</definedName>
    <definedName name="Results_Stock_Race_240" localSheetId="14">'Work'!$A$1:$B$113</definedName>
    <definedName name="Results_Stock_Race_241" localSheetId="14">'Work'!$A$1:$B$120</definedName>
    <definedName name="Results_Stock_Race_242" localSheetId="14">'Work'!$A$1:$B$118</definedName>
    <definedName name="Results_Stock_Race_243" localSheetId="14">'Work'!$A$1:$B$121</definedName>
    <definedName name="Results_Stock_Race_244" localSheetId="14">'Work'!$A$1:$B$125</definedName>
    <definedName name="Results_Stock_Race_245" localSheetId="14">'Work'!$A$1:$B$116</definedName>
    <definedName name="Results_Stock_Race_246" localSheetId="14">'Work'!$A$1:$B$130</definedName>
    <definedName name="Results_Stock_Race_247" localSheetId="14">'Work'!$A$1:$B$114</definedName>
    <definedName name="Results_Stock_Race_248" localSheetId="14">'Work'!$A$1:$B$138</definedName>
    <definedName name="Results_Stock_Race_249" localSheetId="14">'Work'!$A$1:$B$125</definedName>
    <definedName name="Results_Stock_Race_25" localSheetId="14">'Work'!$C$1:$D$45</definedName>
    <definedName name="Results_Stock_Race_250" localSheetId="14">'Work'!$A$1:$B$127</definedName>
    <definedName name="Results_Stock_Race_251" localSheetId="14">'Work'!$A$1:$B$115</definedName>
    <definedName name="Results_Stock_Race_252" localSheetId="14">'Work'!$A$1:$B$136</definedName>
    <definedName name="Results_Stock_Race_253" localSheetId="14">'Work'!$A$1:$B$82</definedName>
    <definedName name="Results_Stock_Race_254" localSheetId="14">'Work'!$A$1:$B$93</definedName>
    <definedName name="Results_Stock_Race_255" localSheetId="14">'Work'!$A$1:$B$88</definedName>
    <definedName name="Results_Stock_Race_256" localSheetId="14">'Work'!$A$1:$B$81</definedName>
    <definedName name="Results_Stock_Race_257" localSheetId="14">'Work'!$A$1:$B$80</definedName>
    <definedName name="Results_Stock_Race_258" localSheetId="14">'Work'!$A$1:$B$85</definedName>
    <definedName name="Results_Stock_Race_259" localSheetId="14">'Work'!$A$1:$B$76</definedName>
    <definedName name="Results_Stock_Race_26" localSheetId="14">'Work'!$C$1:$D$43</definedName>
    <definedName name="Results_Stock_Race_260" localSheetId="14">'Work'!$A$1:$B$82</definedName>
    <definedName name="Results_Stock_Race_261" localSheetId="14">'Work'!$A$1:$B$73</definedName>
    <definedName name="Results_Stock_Race_262" localSheetId="14">'Work'!$A$1:$B$75</definedName>
    <definedName name="Results_Stock_Race_263" localSheetId="14">'Work'!$A$1:$B$73</definedName>
    <definedName name="Results_Stock_Race_264" localSheetId="14">'Work'!$A$1:$B$83</definedName>
    <definedName name="Results_Stock_Race_265" localSheetId="14">'Work'!$A$1:$B$87</definedName>
    <definedName name="Results_Stock_Race_266" localSheetId="14">'Work'!$A$1:$B$89</definedName>
    <definedName name="Results_Stock_Race_267" localSheetId="14">'Work'!$A$1:$B$87</definedName>
    <definedName name="Results_Stock_Race_268" localSheetId="14">'Work'!$A$1:$B$92</definedName>
    <definedName name="Results_Stock_Race_269" localSheetId="14">'Work'!$A$1:$B$88</definedName>
    <definedName name="Results_Stock_Race_27" localSheetId="14">'Work'!$C$1:$D$46</definedName>
    <definedName name="Results_Stock_Race_270" localSheetId="14">'Work'!$A$1:$B$147</definedName>
    <definedName name="Results_Stock_Race_271" localSheetId="14">'Work'!$A$1:$B$105</definedName>
    <definedName name="Results_Stock_Race_272" localSheetId="14">'Work'!$A$1:$B$112</definedName>
    <definedName name="Results_Stock_Race_273" localSheetId="14">'Work'!$A$1:$B$117</definedName>
    <definedName name="Results_Stock_Race_274" localSheetId="14">'Work'!$A$1:$B$132</definedName>
    <definedName name="Results_Stock_Race_275" localSheetId="14">'Work'!$A$1:$B$141</definedName>
    <definedName name="Results_Stock_Race_276" localSheetId="14">'Work'!$A$1:$B$135</definedName>
    <definedName name="Results_Stock_Race_277" localSheetId="14">'Work'!$A$1:$B$139</definedName>
    <definedName name="Results_Stock_Race_278" localSheetId="14">'Work'!$A$1:$B$143</definedName>
    <definedName name="Results_Stock_Race_279" localSheetId="14">'Work'!$A$1:$B$135</definedName>
    <definedName name="Results_Stock_Race_28" localSheetId="14">'Work'!$C$1:$D$43</definedName>
    <definedName name="Results_Stock_Race_280" localSheetId="14">'Work'!$A$1:$B$130</definedName>
    <definedName name="Results_Stock_Race_281" localSheetId="14">'Work'!$A$1:$B$121</definedName>
    <definedName name="Results_Stock_Race_282" localSheetId="14">'Work'!$A$1:$B$145</definedName>
    <definedName name="Results_Stock_Race_283" localSheetId="14">'Work'!$A$1:$B$150</definedName>
    <definedName name="Results_Stock_Race_284" localSheetId="14">'Work'!$A$1:$B$109</definedName>
    <definedName name="Results_Stock_Race_285" localSheetId="14">'Work'!$A$1:$B$113</definedName>
    <definedName name="Results_Stock_Race_286" localSheetId="14">'Work'!$A$1:$B$121</definedName>
    <definedName name="Results_Stock_Race_287" localSheetId="14">'Work'!$A$1:$B$104</definedName>
    <definedName name="Results_Stock_Race_288" localSheetId="14">'Work'!$A$1:$B$100</definedName>
    <definedName name="Results_Stock_Race_289" localSheetId="14">'Work'!$A$1:$B$69</definedName>
    <definedName name="Results_Stock_Race_29" localSheetId="14">'Work'!$C$1:$D$39</definedName>
    <definedName name="Results_Stock_Race_290" localSheetId="14">'Work'!$A$1:$B$105</definedName>
    <definedName name="Results_Stock_Race_291" localSheetId="14">'Work'!$A$1:$B$115</definedName>
    <definedName name="Results_Stock_Race_292" localSheetId="14">'Work'!$A$1:$B$97</definedName>
    <definedName name="Results_Stock_Race_293" localSheetId="14">'Work'!$A$1:$B$70</definedName>
    <definedName name="Results_Stock_Race_294" localSheetId="14">'Work'!$A$1:$B$106</definedName>
    <definedName name="Results_Stock_Race_295" localSheetId="14">'Work'!$A$1:$B$102</definedName>
    <definedName name="Results_Stock_Race_296" localSheetId="14">'Work'!$A$1:$B$90</definedName>
    <definedName name="Results_Stock_Race_3" localSheetId="14">'Work'!$E$1:$F$17</definedName>
    <definedName name="Results_Stock_Race_30" localSheetId="14">'Work'!$C$1:$D$45</definedName>
    <definedName name="Results_Stock_Race_31" localSheetId="14">'Work'!$C$1:$D$43</definedName>
    <definedName name="Results_Stock_Race_32" localSheetId="14">'Work'!$C$1:$D$46</definedName>
    <definedName name="Results_Stock_Race_33" localSheetId="14">'Work'!$C$1:$D$43</definedName>
    <definedName name="Results_Stock_Race_34" localSheetId="14">'Work'!$C$1:$D$39</definedName>
    <definedName name="Results_Stock_Race_35" localSheetId="14">'Work'!$C$1:$D$45</definedName>
    <definedName name="Results_Stock_Race_36" localSheetId="14">'Work'!$C$1:$D$43</definedName>
    <definedName name="Results_Stock_Race_37" localSheetId="14">'Work'!$C$1:$D$17</definedName>
    <definedName name="Results_Stock_Race_38" localSheetId="14">'Work'!$C$1:$D$17</definedName>
    <definedName name="Results_Stock_Race_39" localSheetId="14">'Work'!$C$1:$D$17</definedName>
    <definedName name="Results_Stock_Race_4" localSheetId="14">'Work'!$E$1:$F$17</definedName>
    <definedName name="Results_Stock_Race_40" localSheetId="14">'Work'!$C$1:$D$17</definedName>
    <definedName name="Results_Stock_Race_41" localSheetId="14">'Work'!$C$1:$D$17</definedName>
    <definedName name="Results_Stock_Race_42" localSheetId="14">'Work'!$C$1:$D$30</definedName>
    <definedName name="Results_Stock_Race_43" localSheetId="14">'Work'!$C$1:$D$17</definedName>
    <definedName name="Results_Stock_Race_44" localSheetId="14">'Work'!$C$1:$D$30</definedName>
    <definedName name="Results_Stock_Race_45" localSheetId="14">'Work'!$C$1:$D$30</definedName>
    <definedName name="Results_Stock_Race_46" localSheetId="14">'Work'!$C$1:$D$30</definedName>
    <definedName name="Results_Stock_Race_47" localSheetId="14">'Work'!$C$1:$D$17</definedName>
    <definedName name="Results_Stock_Race_48" localSheetId="14">'Work'!$C$1:$D$17</definedName>
    <definedName name="Results_Stock_Race_49" localSheetId="14">'Work'!$C$1:$D$17</definedName>
    <definedName name="Results_Stock_Race_5" localSheetId="14">'Work'!$E$1:$F$17</definedName>
    <definedName name="Results_Stock_Race_50" localSheetId="14">'Work'!$C$1:$D$17</definedName>
    <definedName name="Results_Stock_Race_51" localSheetId="14">'Work'!$C$1:$D$17</definedName>
    <definedName name="Results_Stock_Race_52" localSheetId="14">'Work'!$C$1:$D$17</definedName>
    <definedName name="Results_Stock_Race_53" localSheetId="14">'Work'!$C$1:$D$17</definedName>
    <definedName name="Results_Stock_Race_54" localSheetId="14">'Work'!$C$1:$D$17</definedName>
    <definedName name="Results_Stock_Race_55" localSheetId="14">'Work'!$C$1:$D$17</definedName>
    <definedName name="Results_Stock_Race_56" localSheetId="14">'Work'!$C$1:$D$17</definedName>
    <definedName name="Results_Stock_Race_57" localSheetId="14">'Work'!$C$1:$D$17</definedName>
    <definedName name="Results_Stock_Race_58" localSheetId="14">'Work'!$C$1:$D$17</definedName>
    <definedName name="Results_Stock_Race_59" localSheetId="14">'Work'!$C$1:$D$17</definedName>
    <definedName name="Results_Stock_Race_6" localSheetId="14">'Work'!$E$1:$F$17</definedName>
    <definedName name="Results_Stock_Race_60" localSheetId="14">'Work'!$C$1:$D$17</definedName>
    <definedName name="Results_Stock_Race_61" localSheetId="14">'Work'!$C$1:$D$17</definedName>
    <definedName name="Results_Stock_Race_62" localSheetId="14">'Work'!$C$1:$D$17</definedName>
    <definedName name="Results_Stock_Race_63" localSheetId="14">'Work'!$C$1:$D$17</definedName>
    <definedName name="Results_Stock_Race_64" localSheetId="14">'Work'!$C$1:$D$17</definedName>
    <definedName name="Results_Stock_Race_65" localSheetId="14">'Work'!$C$1:$D$17</definedName>
    <definedName name="Results_Stock_Race_66" localSheetId="14">'Work'!$C$1:$D$17</definedName>
    <definedName name="Results_Stock_Race_67" localSheetId="14">'Work'!$C$1:$D$17</definedName>
    <definedName name="Results_Stock_Race_68" localSheetId="14">'Work'!$C$1:$D$17</definedName>
    <definedName name="Results_Stock_Race_69" localSheetId="14">'Work'!$C$1:$D$17</definedName>
    <definedName name="Results_Stock_Race_7" localSheetId="14">'Work'!$E$1:$F$17</definedName>
    <definedName name="Results_Stock_Race_70" localSheetId="14">'Work'!$C$1:$D$17</definedName>
    <definedName name="Results_Stock_Race_71" localSheetId="14">'Work'!$C$1:$D$17</definedName>
    <definedName name="Results_Stock_Race_72" localSheetId="14">'Work'!$C$1:$D$17</definedName>
    <definedName name="Results_Stock_Race_73" localSheetId="14">'Work'!$C$1:$D$17</definedName>
    <definedName name="Results_Stock_Race_74" localSheetId="14">'Work'!$C$1:$D$17</definedName>
    <definedName name="Results_Stock_Race_75" localSheetId="14">'Work'!$C$1:$D$17</definedName>
    <definedName name="Results_Stock_Race_76" localSheetId="14">'Work'!$C$1:$D$17</definedName>
    <definedName name="Results_Stock_Race_77" localSheetId="14">'Work'!$C$1:$D$17</definedName>
    <definedName name="Results_Stock_Race_78" localSheetId="14">'Work'!$C$1:$D$17</definedName>
    <definedName name="Results_Stock_Race_79" localSheetId="14">'Work'!$C$1:$D$17</definedName>
    <definedName name="Results_Stock_Race_8" localSheetId="14">'Work'!$C$1:$D$17</definedName>
    <definedName name="Results_Stock_Race_80" localSheetId="14">'Work'!$C$1:$D$17</definedName>
    <definedName name="Results_Stock_Race_81" localSheetId="14">'Work'!$C$1:$D$17</definedName>
    <definedName name="Results_Stock_Race_82" localSheetId="14">'Work'!$C$1:$D$17</definedName>
    <definedName name="Results_Stock_Race_83" localSheetId="14">'Work'!$C$1:$D$17</definedName>
    <definedName name="Results_Stock_Race_84" localSheetId="14">'Work'!$C$1:$D$17</definedName>
    <definedName name="Results_Stock_Race_85" localSheetId="14">'Work'!$C$1:$D$17</definedName>
    <definedName name="Results_Stock_Race_86" localSheetId="14">'Work'!$C$1:$D$17</definedName>
    <definedName name="Results_Stock_Race_87" localSheetId="14">'Work'!$C$1:$D$20</definedName>
    <definedName name="Results_Stock_Race_88" localSheetId="14">'Work'!$A$1:$B$10</definedName>
    <definedName name="Results_Stock_Race_89" localSheetId="14">'Work'!$A$1:$B$32</definedName>
    <definedName name="Results_Stock_Race_9" localSheetId="14">'Work'!$C$1:$D$17</definedName>
    <definedName name="Results_Stock_Race_90" localSheetId="14">'Work'!$A$1:$B$52</definedName>
    <definedName name="Results_Stock_Race_91" localSheetId="14">'Work'!$A$1:$B$32</definedName>
    <definedName name="Results_Stock_Race_92" localSheetId="14">'Work'!$A$1:$B$25</definedName>
    <definedName name="Results_Stock_Race_93" localSheetId="14">'Work'!$A$1:$B$13</definedName>
    <definedName name="Results_Stock_Race_94" localSheetId="14">'Work'!$A$1:$B$8</definedName>
    <definedName name="Results_Stock_Race_95" localSheetId="14">'Work'!$A$1:$B$3</definedName>
    <definedName name="Results_Stock_Race_96" localSheetId="14">'Work'!$A$1:$B$5</definedName>
    <definedName name="Results_Stock_Race_97" localSheetId="14">'Work'!$A$1:$B$31</definedName>
    <definedName name="Results_Stock_Race_98" localSheetId="14">'Work'!$A$1:$B$13</definedName>
    <definedName name="Rotation">#REF!</definedName>
    <definedName name="Software">'Instructions'!$E$16:$E$17</definedName>
    <definedName name="Style">#REF!</definedName>
  </definedNames>
  <calcPr fullCalcOnLoad="1"/>
</workbook>
</file>

<file path=xl/sharedStrings.xml><?xml version="1.0" encoding="utf-8"?>
<sst xmlns="http://schemas.openxmlformats.org/spreadsheetml/2006/main" count="625" uniqueCount="118">
  <si>
    <t>Heat</t>
  </si>
  <si>
    <t>Driver</t>
  </si>
  <si>
    <t>Laps</t>
  </si>
  <si>
    <t>Division</t>
  </si>
  <si>
    <t>Sliders</t>
  </si>
  <si>
    <t>Crashers</t>
  </si>
  <si>
    <t>Placing</t>
  </si>
  <si>
    <t>Consistency</t>
  </si>
  <si>
    <t>Speed</t>
  </si>
  <si>
    <t>Cam</t>
  </si>
  <si>
    <t>Karl</t>
  </si>
  <si>
    <t>Points</t>
  </si>
  <si>
    <t>Race</t>
  </si>
  <si>
    <t>Bonus</t>
  </si>
  <si>
    <t>Total</t>
  </si>
  <si>
    <t>Handicap</t>
  </si>
  <si>
    <t>Adjustment</t>
  </si>
  <si>
    <t>New</t>
  </si>
  <si>
    <t>Meeting Points</t>
  </si>
  <si>
    <t>Consistency Final</t>
  </si>
  <si>
    <t>Speed Final</t>
  </si>
  <si>
    <t>Rank</t>
  </si>
  <si>
    <t>Classic</t>
  </si>
  <si>
    <t>Tracey</t>
  </si>
  <si>
    <t>Kev</t>
  </si>
  <si>
    <t>Dave G</t>
  </si>
  <si>
    <t>Chad</t>
  </si>
  <si>
    <t>Garth</t>
  </si>
  <si>
    <t>Geoff</t>
  </si>
  <si>
    <t>Barry</t>
  </si>
  <si>
    <t>Matelen</t>
  </si>
  <si>
    <t>Ben</t>
  </si>
  <si>
    <t>Sarah</t>
  </si>
  <si>
    <t>Hayley</t>
  </si>
  <si>
    <t>Tyler</t>
  </si>
  <si>
    <t>Kate</t>
  </si>
  <si>
    <t>Luke</t>
  </si>
  <si>
    <t>Jayden</t>
  </si>
  <si>
    <t>Richard</t>
  </si>
  <si>
    <t>Chris</t>
  </si>
  <si>
    <t>Drew</t>
  </si>
  <si>
    <t xml:space="preserve"> </t>
  </si>
  <si>
    <t>Em</t>
  </si>
  <si>
    <t>Dave H</t>
  </si>
  <si>
    <t>Bill</t>
  </si>
  <si>
    <t>QT</t>
  </si>
  <si>
    <t>Starting</t>
  </si>
  <si>
    <t>Start Time</t>
  </si>
  <si>
    <t>Current</t>
  </si>
  <si>
    <t>Jarad</t>
  </si>
  <si>
    <t>Adjusted</t>
  </si>
  <si>
    <t>Feb</t>
  </si>
  <si>
    <t>Mar</t>
  </si>
  <si>
    <t>Nod</t>
  </si>
  <si>
    <t>Jarrad</t>
  </si>
  <si>
    <t>Average</t>
  </si>
  <si>
    <t>Race Meet</t>
  </si>
  <si>
    <t>Track</t>
  </si>
  <si>
    <t>Date</t>
  </si>
  <si>
    <t/>
  </si>
  <si>
    <t>Prev Race</t>
  </si>
  <si>
    <t>No Racers</t>
  </si>
  <si>
    <t>Stock</t>
  </si>
  <si>
    <t>Modified</t>
  </si>
  <si>
    <t>RO</t>
  </si>
  <si>
    <t>Junior</t>
  </si>
  <si>
    <t>Bonus points</t>
  </si>
  <si>
    <t>Bad Starts</t>
  </si>
  <si>
    <t>Time</t>
  </si>
  <si>
    <t>Race No</t>
  </si>
  <si>
    <t>Driver Changes:0</t>
  </si>
  <si>
    <t>Play sound at</t>
  </si>
  <si>
    <t>Software</t>
  </si>
  <si>
    <t>Auto start</t>
  </si>
  <si>
    <t>Times</t>
  </si>
  <si>
    <t>Very Long</t>
  </si>
  <si>
    <t>Long</t>
  </si>
  <si>
    <t>Medium</t>
  </si>
  <si>
    <t>Short</t>
  </si>
  <si>
    <t>Driver Changes:6</t>
  </si>
  <si>
    <t>Driver Changes:5</t>
  </si>
  <si>
    <t>Driver Changes:4</t>
  </si>
  <si>
    <t>Driver Changes:3</t>
  </si>
  <si>
    <t>Driver Changes:2</t>
  </si>
  <si>
    <t>Driver Changes:1</t>
  </si>
  <si>
    <t>LapTimer</t>
  </si>
  <si>
    <t>UltimateRacer</t>
  </si>
  <si>
    <t>Events</t>
  </si>
  <si>
    <t>Event</t>
  </si>
  <si>
    <t>Lane 1</t>
  </si>
  <si>
    <t>Lane 2</t>
  </si>
  <si>
    <t>Lane 3</t>
  </si>
  <si>
    <t>Lane 4</t>
  </si>
  <si>
    <t>Division/Handicaps</t>
  </si>
  <si>
    <t>Start Colour</t>
  </si>
  <si>
    <t>Up Now</t>
  </si>
  <si>
    <t>Up Next</t>
  </si>
  <si>
    <t>Div</t>
  </si>
  <si>
    <t>Delay</t>
  </si>
  <si>
    <t>Pause</t>
  </si>
  <si>
    <t>Current Standings</t>
  </si>
  <si>
    <t>Lane Colours</t>
  </si>
  <si>
    <t>Apr</t>
  </si>
  <si>
    <t>Villene</t>
  </si>
  <si>
    <t>Berger</t>
  </si>
  <si>
    <t>Irvine</t>
  </si>
  <si>
    <t>Senna</t>
  </si>
  <si>
    <t>John</t>
  </si>
  <si>
    <t>Sarah E</t>
  </si>
  <si>
    <t>empty</t>
  </si>
  <si>
    <t>May</t>
  </si>
  <si>
    <t>Graham</t>
  </si>
  <si>
    <t>Emma</t>
  </si>
  <si>
    <t>June</t>
  </si>
  <si>
    <t>July</t>
  </si>
  <si>
    <t>Steve</t>
  </si>
  <si>
    <t>Aug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</si>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</sst>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[$-F800]dddd\,\ mmmm\ dd\,\ yyyy"/>
    <numFmt numFmtId="180" formatCode="0.000000000000000000000000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12"/>
      <name val="Arial"/>
      <family val="0"/>
    </font>
    <font>
      <b/>
      <i/>
      <sz val="14"/>
      <name val="Arial"/>
      <family val="0"/>
    </font>
    <font>
      <b/>
      <sz val="22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4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6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6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6" xfId="0" applyFill="1" applyBorder="1" applyAlignment="1">
      <alignment/>
    </xf>
    <xf numFmtId="0" fontId="4" fillId="26" borderId="10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4" fillId="26" borderId="14" xfId="0" applyFont="1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26" borderId="22" xfId="0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19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4" fillId="26" borderId="17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4" fillId="26" borderId="23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25" borderId="23" xfId="0" applyFill="1" applyBorder="1" applyAlignment="1">
      <alignment/>
    </xf>
    <xf numFmtId="0" fontId="0" fillId="17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45" fontId="0" fillId="0" borderId="10" xfId="0" applyNumberFormat="1" applyBorder="1" applyAlignment="1">
      <alignment/>
    </xf>
    <xf numFmtId="45" fontId="0" fillId="0" borderId="11" xfId="0" applyNumberFormat="1" applyBorder="1" applyAlignment="1">
      <alignment/>
    </xf>
    <xf numFmtId="45" fontId="0" fillId="0" borderId="12" xfId="0" applyNumberFormat="1" applyBorder="1" applyAlignment="1">
      <alignment/>
    </xf>
    <xf numFmtId="45" fontId="0" fillId="0" borderId="18" xfId="0" applyNumberFormat="1" applyBorder="1" applyAlignment="1">
      <alignment/>
    </xf>
    <xf numFmtId="45" fontId="0" fillId="0" borderId="0" xfId="0" applyNumberFormat="1" applyAlignment="1">
      <alignment/>
    </xf>
    <xf numFmtId="173" fontId="0" fillId="0" borderId="20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4" xfId="0" applyNumberFormat="1" applyFill="1" applyBorder="1" applyAlignment="1">
      <alignment/>
    </xf>
    <xf numFmtId="173" fontId="0" fillId="0" borderId="16" xfId="0" applyNumberFormat="1" applyBorder="1" applyAlignment="1">
      <alignment/>
    </xf>
    <xf numFmtId="0" fontId="0" fillId="0" borderId="19" xfId="0" applyFill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0" fontId="0" fillId="0" borderId="22" xfId="0" applyFill="1" applyBorder="1" applyAlignment="1">
      <alignment/>
    </xf>
    <xf numFmtId="1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17" borderId="11" xfId="0" applyFill="1" applyBorder="1" applyAlignment="1">
      <alignment/>
    </xf>
    <xf numFmtId="0" fontId="0" fillId="20" borderId="0" xfId="0" applyFill="1" applyAlignment="1">
      <alignment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1" fontId="0" fillId="20" borderId="11" xfId="0" applyNumberFormat="1" applyFill="1" applyBorder="1" applyAlignment="1">
      <alignment/>
    </xf>
    <xf numFmtId="173" fontId="0" fillId="20" borderId="11" xfId="0" applyNumberFormat="1" applyFill="1" applyBorder="1" applyAlignment="1">
      <alignment/>
    </xf>
    <xf numFmtId="1" fontId="0" fillId="20" borderId="12" xfId="0" applyNumberFormat="1" applyFill="1" applyBorder="1" applyAlignment="1">
      <alignment/>
    </xf>
    <xf numFmtId="173" fontId="0" fillId="20" borderId="12" xfId="0" applyNumberFormat="1" applyFill="1" applyBorder="1" applyAlignment="1">
      <alignment/>
    </xf>
    <xf numFmtId="1" fontId="0" fillId="20" borderId="18" xfId="0" applyNumberFormat="1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21" borderId="22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24" xfId="0" applyFill="1" applyBorder="1" applyAlignment="1">
      <alignment/>
    </xf>
    <xf numFmtId="0" fontId="0" fillId="21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21" borderId="10" xfId="0" applyFill="1" applyBorder="1" applyAlignment="1">
      <alignment horizontal="center"/>
    </xf>
    <xf numFmtId="0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7" fillId="0" borderId="0" xfId="0" applyNumberFormat="1" applyFont="1" applyBorder="1" applyAlignment="1">
      <alignment vertical="center"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11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Alignment="1">
      <alignment/>
    </xf>
    <xf numFmtId="0" fontId="0" fillId="0" borderId="0" xfId="0" applyFont="1" applyAlignment="1">
      <alignment/>
    </xf>
    <xf numFmtId="173" fontId="29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73" fontId="30" fillId="0" borderId="0" xfId="0" applyNumberFormat="1" applyFont="1" applyFill="1" applyAlignment="1">
      <alignment/>
    </xf>
    <xf numFmtId="0" fontId="28" fillId="0" borderId="0" xfId="0" applyNumberFormat="1" applyFont="1" applyAlignment="1">
      <alignment horizontal="right"/>
    </xf>
    <xf numFmtId="45" fontId="1" fillId="0" borderId="0" xfId="0" applyNumberFormat="1" applyFont="1" applyFill="1" applyAlignment="1">
      <alignment horizontal="right"/>
    </xf>
    <xf numFmtId="45" fontId="28" fillId="0" borderId="0" xfId="0" applyNumberFormat="1" applyFont="1" applyFill="1" applyAlignment="1">
      <alignment horizontal="right"/>
    </xf>
    <xf numFmtId="45" fontId="1" fillId="0" borderId="0" xfId="0" applyNumberFormat="1" applyFont="1" applyAlignment="1">
      <alignment horizontal="right"/>
    </xf>
    <xf numFmtId="45" fontId="1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2" fontId="1" fillId="0" borderId="0" xfId="0" applyNumberFormat="1" applyFont="1" applyFill="1" applyAlignment="1">
      <alignment horizontal="right"/>
    </xf>
    <xf numFmtId="21" fontId="0" fillId="0" borderId="10" xfId="0" applyNumberFormat="1" applyBorder="1" applyAlignment="1">
      <alignment/>
    </xf>
    <xf numFmtId="173" fontId="29" fillId="0" borderId="0" xfId="0" applyNumberFormat="1" applyFont="1" applyFill="1" applyAlignment="1">
      <alignment/>
    </xf>
    <xf numFmtId="4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17" borderId="2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17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10" xfId="0" applyFont="1" applyFill="1" applyBorder="1" applyAlignment="1">
      <alignment/>
    </xf>
    <xf numFmtId="0" fontId="4" fillId="27" borderId="10" xfId="0" applyFont="1" applyFill="1" applyBorder="1" applyAlignment="1">
      <alignment/>
    </xf>
    <xf numFmtId="0" fontId="4" fillId="28" borderId="10" xfId="0" applyFont="1" applyFill="1" applyBorder="1" applyAlignment="1">
      <alignment/>
    </xf>
    <xf numFmtId="0" fontId="4" fillId="29" borderId="22" xfId="0" applyFont="1" applyFill="1" applyBorder="1" applyAlignment="1">
      <alignment/>
    </xf>
    <xf numFmtId="0" fontId="4" fillId="29" borderId="10" xfId="0" applyFont="1" applyFill="1" applyBorder="1" applyAlignment="1">
      <alignment/>
    </xf>
    <xf numFmtId="0" fontId="4" fillId="29" borderId="15" xfId="0" applyFont="1" applyFill="1" applyBorder="1" applyAlignment="1">
      <alignment/>
    </xf>
    <xf numFmtId="0" fontId="4" fillId="29" borderId="22" xfId="0" applyFont="1" applyFill="1" applyBorder="1" applyAlignment="1">
      <alignment horizontal="center"/>
    </xf>
    <xf numFmtId="0" fontId="4" fillId="28" borderId="22" xfId="0" applyFont="1" applyFill="1" applyBorder="1" applyAlignment="1">
      <alignment horizontal="center"/>
    </xf>
    <xf numFmtId="0" fontId="4" fillId="28" borderId="22" xfId="0" applyFont="1" applyFill="1" applyBorder="1" applyAlignment="1">
      <alignment/>
    </xf>
    <xf numFmtId="0" fontId="4" fillId="28" borderId="14" xfId="0" applyFont="1" applyFill="1" applyBorder="1" applyAlignment="1">
      <alignment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1" borderId="24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79" fontId="0" fillId="0" borderId="16" xfId="0" applyNumberFormat="1" applyFill="1" applyBorder="1" applyAlignment="1">
      <alignment horizontal="left"/>
    </xf>
    <xf numFmtId="179" fontId="0" fillId="0" borderId="21" xfId="0" applyNumberFormat="1" applyFill="1" applyBorder="1" applyAlignment="1">
      <alignment horizontal="left"/>
    </xf>
    <xf numFmtId="179" fontId="0" fillId="0" borderId="17" xfId="0" applyNumberFormat="1" applyFill="1" applyBorder="1" applyAlignment="1">
      <alignment horizontal="left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Alignment="1">
      <alignment horizontal="center"/>
    </xf>
    <xf numFmtId="45" fontId="31" fillId="0" borderId="13" xfId="0" applyNumberFormat="1" applyFont="1" applyFill="1" applyBorder="1" applyAlignment="1">
      <alignment horizontal="center" vertical="center"/>
    </xf>
    <xf numFmtId="45" fontId="31" fillId="0" borderId="20" xfId="0" applyNumberFormat="1" applyFont="1" applyFill="1" applyBorder="1" applyAlignment="1">
      <alignment horizontal="center" vertical="center"/>
    </xf>
    <xf numFmtId="45" fontId="31" fillId="0" borderId="19" xfId="0" applyNumberFormat="1" applyFont="1" applyFill="1" applyBorder="1" applyAlignment="1">
      <alignment horizontal="center" vertical="center"/>
    </xf>
    <xf numFmtId="45" fontId="31" fillId="0" borderId="14" xfId="0" applyNumberFormat="1" applyFont="1" applyFill="1" applyBorder="1" applyAlignment="1">
      <alignment horizontal="center" vertical="center"/>
    </xf>
    <xf numFmtId="45" fontId="31" fillId="0" borderId="0" xfId="0" applyNumberFormat="1" applyFont="1" applyFill="1" applyBorder="1" applyAlignment="1">
      <alignment horizontal="center" vertical="center"/>
    </xf>
    <xf numFmtId="45" fontId="31" fillId="0" borderId="15" xfId="0" applyNumberFormat="1" applyFont="1" applyFill="1" applyBorder="1" applyAlignment="1">
      <alignment horizontal="center" vertical="center"/>
    </xf>
    <xf numFmtId="45" fontId="31" fillId="0" borderId="16" xfId="0" applyNumberFormat="1" applyFont="1" applyFill="1" applyBorder="1" applyAlignment="1">
      <alignment horizontal="center" vertical="center"/>
    </xf>
    <xf numFmtId="45" fontId="31" fillId="0" borderId="21" xfId="0" applyNumberFormat="1" applyFont="1" applyFill="1" applyBorder="1" applyAlignment="1">
      <alignment horizontal="center" vertical="center"/>
    </xf>
    <xf numFmtId="45" fontId="31" fillId="0" borderId="1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29" borderId="23" xfId="0" applyFont="1" applyFill="1" applyBorder="1" applyAlignment="1">
      <alignment/>
    </xf>
    <xf numFmtId="0" fontId="4" fillId="29" borderId="17" xfId="0" applyFont="1" applyFill="1" applyBorder="1" applyAlignment="1">
      <alignment/>
    </xf>
    <xf numFmtId="0" fontId="0" fillId="25" borderId="22" xfId="0" applyFill="1" applyBorder="1" applyAlignment="1">
      <alignment/>
    </xf>
    <xf numFmtId="0" fontId="4" fillId="28" borderId="22" xfId="0" applyFont="1" applyFill="1" applyBorder="1" applyAlignment="1">
      <alignment/>
    </xf>
    <xf numFmtId="0" fontId="4" fillId="28" borderId="23" xfId="0" applyFont="1" applyFill="1" applyBorder="1" applyAlignment="1">
      <alignment/>
    </xf>
    <xf numFmtId="0" fontId="4" fillId="28" borderId="14" xfId="0" applyFont="1" applyFill="1" applyBorder="1" applyAlignment="1">
      <alignment/>
    </xf>
    <xf numFmtId="0" fontId="4" fillId="28" borderId="16" xfId="0" applyFont="1" applyFill="1" applyBorder="1" applyAlignment="1">
      <alignment/>
    </xf>
    <xf numFmtId="0" fontId="0" fillId="28" borderId="23" xfId="0" applyFill="1" applyBorder="1" applyAlignment="1">
      <alignment/>
    </xf>
    <xf numFmtId="0" fontId="0" fillId="28" borderId="23" xfId="0" applyFill="1" applyBorder="1" applyAlignment="1">
      <alignment/>
    </xf>
    <xf numFmtId="0" fontId="4" fillId="29" borderId="22" xfId="0" applyFont="1" applyFill="1" applyBorder="1" applyAlignment="1">
      <alignment/>
    </xf>
    <xf numFmtId="0" fontId="0" fillId="28" borderId="14" xfId="0" applyFill="1" applyBorder="1" applyAlignment="1">
      <alignment/>
    </xf>
    <xf numFmtId="0" fontId="0" fillId="28" borderId="16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4" fillId="29" borderId="13" xfId="0" applyFont="1" applyFill="1" applyBorder="1" applyAlignment="1">
      <alignment/>
    </xf>
    <xf numFmtId="0" fontId="4" fillId="29" borderId="14" xfId="0" applyFont="1" applyFill="1" applyBorder="1" applyAlignment="1">
      <alignment/>
    </xf>
    <xf numFmtId="0" fontId="4" fillId="29" borderId="16" xfId="0" applyFont="1" applyFill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13" xfId="0" applyFill="1" applyBorder="1" applyAlignment="1">
      <alignment/>
    </xf>
    <xf numFmtId="0" fontId="0" fillId="28" borderId="0" xfId="0" applyFill="1" applyAlignment="1">
      <alignment/>
    </xf>
    <xf numFmtId="0" fontId="4" fillId="29" borderId="10" xfId="0" applyFont="1" applyFill="1" applyBorder="1" applyAlignment="1">
      <alignment horizontal="center"/>
    </xf>
    <xf numFmtId="0" fontId="0" fillId="28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C4:F23"/>
  <sheetViews>
    <sheetView workbookViewId="0" topLeftCell="C7">
      <selection activeCell="E34" sqref="E34"/>
    </sheetView>
  </sheetViews>
  <sheetFormatPr defaultColWidth="9.140625" defaultRowHeight="12.75"/>
  <cols>
    <col min="5" max="5" width="15.140625" style="0" customWidth="1"/>
  </cols>
  <sheetData>
    <row r="4" spans="3:6" ht="12.75">
      <c r="C4" t="s">
        <v>74</v>
      </c>
      <c r="E4" t="s">
        <v>75</v>
      </c>
      <c r="F4" s="116">
        <v>0.001388888888888889</v>
      </c>
    </row>
    <row r="5" spans="5:6" ht="12.75">
      <c r="E5" t="s">
        <v>76</v>
      </c>
      <c r="F5" s="116">
        <v>0.0010416666666666667</v>
      </c>
    </row>
    <row r="6" spans="5:6" ht="12.75">
      <c r="E6" t="s">
        <v>77</v>
      </c>
      <c r="F6" s="116">
        <v>0.0006944444444444445</v>
      </c>
    </row>
    <row r="7" spans="5:6" ht="12.75">
      <c r="E7" t="s">
        <v>78</v>
      </c>
      <c r="F7" s="116">
        <v>0.00034722222222222224</v>
      </c>
    </row>
    <row r="8" spans="5:6" ht="12.75">
      <c r="E8" t="s">
        <v>79</v>
      </c>
      <c r="F8" s="116">
        <v>0.001388888888888889</v>
      </c>
    </row>
    <row r="9" spans="5:6" ht="12.75">
      <c r="E9" t="s">
        <v>80</v>
      </c>
      <c r="F9" s="116">
        <v>0.001388888888888889</v>
      </c>
    </row>
    <row r="10" spans="5:6" ht="12.75">
      <c r="E10" t="s">
        <v>81</v>
      </c>
      <c r="F10" s="116">
        <v>0.001388888888888889</v>
      </c>
    </row>
    <row r="11" spans="5:6" ht="12.75">
      <c r="E11" t="s">
        <v>82</v>
      </c>
      <c r="F11" s="116">
        <v>0.001388888888888889</v>
      </c>
    </row>
    <row r="12" spans="5:6" ht="12.75">
      <c r="E12" t="s">
        <v>83</v>
      </c>
      <c r="F12" s="116">
        <v>0.0010416666666666667</v>
      </c>
    </row>
    <row r="13" spans="5:6" ht="12.75">
      <c r="E13" t="s">
        <v>84</v>
      </c>
      <c r="F13" s="116">
        <v>0.0006944444444444445</v>
      </c>
    </row>
    <row r="14" spans="5:6" ht="12.75">
      <c r="E14" t="s">
        <v>70</v>
      </c>
      <c r="F14" s="116">
        <v>0.00034722222222222224</v>
      </c>
    </row>
    <row r="16" spans="3:5" ht="12.75">
      <c r="C16" t="s">
        <v>72</v>
      </c>
      <c r="E16" t="s">
        <v>85</v>
      </c>
    </row>
    <row r="17" ht="12.75">
      <c r="E17" t="s">
        <v>86</v>
      </c>
    </row>
    <row r="19" spans="3:5" ht="12.75">
      <c r="C19" t="s">
        <v>87</v>
      </c>
      <c r="E19" t="s">
        <v>22</v>
      </c>
    </row>
    <row r="20" ht="12.75">
      <c r="E20" t="s">
        <v>62</v>
      </c>
    </row>
    <row r="21" ht="12.75">
      <c r="E21" t="s">
        <v>63</v>
      </c>
    </row>
    <row r="22" ht="12.75">
      <c r="E22" t="s">
        <v>64</v>
      </c>
    </row>
    <row r="23" ht="12.75">
      <c r="E23" t="s">
        <v>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FFFFFF"/>
  </sheetPr>
  <dimension ref="A1:M42"/>
  <sheetViews>
    <sheetView workbookViewId="0" topLeftCell="A1">
      <selection activeCell="J15" sqref="J15"/>
    </sheetView>
  </sheetViews>
  <sheetFormatPr defaultColWidth="9.140625" defaultRowHeight="12.75"/>
  <cols>
    <col min="3" max="3" width="9.140625" style="69" customWidth="1"/>
    <col min="6" max="6" width="9.140625" style="77" customWidth="1"/>
    <col min="14" max="14" width="15.00390625" style="0" customWidth="1"/>
    <col min="15" max="15" width="9.140625" style="60" customWidth="1"/>
  </cols>
  <sheetData>
    <row r="1" spans="1:13" ht="12.75">
      <c r="A1" s="1"/>
      <c r="B1" s="52" t="s">
        <v>1</v>
      </c>
      <c r="C1" s="75" t="s">
        <v>14</v>
      </c>
      <c r="D1" s="1" t="s">
        <v>50</v>
      </c>
      <c r="E1" s="45" t="s">
        <v>51</v>
      </c>
      <c r="F1" s="151" t="s">
        <v>52</v>
      </c>
      <c r="G1" s="45" t="s">
        <v>102</v>
      </c>
      <c r="H1" s="37" t="s">
        <v>110</v>
      </c>
      <c r="I1" s="37" t="s">
        <v>113</v>
      </c>
      <c r="J1" s="52" t="s">
        <v>114</v>
      </c>
      <c r="K1" s="44" t="s">
        <v>116</v>
      </c>
      <c r="L1" s="52"/>
      <c r="M1" s="37"/>
    </row>
    <row r="2" spans="1:13" ht="12.75">
      <c r="A2" s="2"/>
      <c r="B2" s="9" t="s">
        <v>55</v>
      </c>
      <c r="C2" s="63"/>
      <c r="D2" s="2"/>
      <c r="E2" s="149">
        <f>SUM(E3:E32)/COUNT(E3:E32)</f>
        <v>33.6875</v>
      </c>
      <c r="F2" s="149">
        <f>SUM(F3:F32)/COUNT(F3:F32)</f>
        <v>38.63636363636363</v>
      </c>
      <c r="G2" s="149">
        <f>SUM(G3:G32)/COUNT(G3:G32)</f>
        <v>28.928571428571427</v>
      </c>
      <c r="H2" s="149">
        <f>SUM(H3:H32)/COUNT(H3:H32)</f>
        <v>43.13333333333333</v>
      </c>
      <c r="I2" s="6"/>
      <c r="J2" s="149">
        <f>SUM(J3:J32)/COUNT(J3:J32)</f>
        <v>121.26666666666667</v>
      </c>
      <c r="K2" s="149">
        <f>SUM(K3:K32)/COUNT(K3:K32)</f>
        <v>83.17647058823529</v>
      </c>
      <c r="L2" s="9"/>
      <c r="M2" s="9"/>
    </row>
    <row r="3" spans="1:13" ht="12.75">
      <c r="A3" s="3" t="s">
        <v>5</v>
      </c>
      <c r="B3" s="9" t="s">
        <v>29</v>
      </c>
      <c r="C3" s="63">
        <f>IF(L3="",IF(K3="",IF(J3="",IF(I3="",IF(H3="",IF(G3="",IF(F3="",IF(E3="",0,E3*100/E$2),F3*100/F$2),G3*100/G$2),H3*100/H$2),I3*100/I$2),J3*100/J$2),K3*100/K$2),L3*100/L$2)</f>
        <v>82.95615275813296</v>
      </c>
      <c r="D3" s="63"/>
      <c r="E3" s="6">
        <v>31</v>
      </c>
      <c r="F3" s="150">
        <v>39</v>
      </c>
      <c r="G3" s="65"/>
      <c r="H3" s="65"/>
      <c r="I3" s="65"/>
      <c r="J3" s="69"/>
      <c r="K3" s="68">
        <v>69</v>
      </c>
      <c r="L3" s="69"/>
      <c r="M3" s="69"/>
    </row>
    <row r="4" spans="1:13" ht="12.75">
      <c r="A4" s="3" t="s">
        <v>5</v>
      </c>
      <c r="B4" s="9" t="s">
        <v>31</v>
      </c>
      <c r="C4" s="63">
        <f>IF(L4="",IF(K4="",IF(J4="",IF(I4="",IF(H4="",IF(G4="",IF(F4="",IF(E4="",0,E4*100/E$2),F4*100/F$2),G4*100/G$2),H4*100/H$2),I4*100/I$2),J4*100/J$2),K4*100/K$2),L4*100/L$2)</f>
        <v>111.81046676096182</v>
      </c>
      <c r="D4" s="63"/>
      <c r="E4" s="6">
        <v>32</v>
      </c>
      <c r="F4" s="150">
        <v>36</v>
      </c>
      <c r="G4" s="65">
        <v>30</v>
      </c>
      <c r="H4" s="65">
        <v>39</v>
      </c>
      <c r="I4" s="65"/>
      <c r="J4" s="69">
        <v>119</v>
      </c>
      <c r="K4" s="68">
        <v>93</v>
      </c>
      <c r="L4" s="69"/>
      <c r="M4" s="69"/>
    </row>
    <row r="5" spans="1:13" ht="12.75">
      <c r="A5" s="109" t="s">
        <v>5</v>
      </c>
      <c r="B5" s="108" t="s">
        <v>44</v>
      </c>
      <c r="C5" s="63">
        <f>IF(L5="",IF(K5="",IF(J5="",IF(I5="",IF(H5="",IF(G5="",IF(F5="",IF(E5="",0,E5*100/E$2),F5*100/F$2),G5*100/G$2),H5*100/H$2),I5*100/I$2),J5*100/J$2),K5*100/K$2),L5*100/L$2)</f>
        <v>102.1923620933522</v>
      </c>
      <c r="D5" s="3"/>
      <c r="E5" s="6"/>
      <c r="F5" s="150"/>
      <c r="G5" s="6"/>
      <c r="H5" s="6">
        <v>45</v>
      </c>
      <c r="I5" s="6"/>
      <c r="J5" s="69">
        <v>123</v>
      </c>
      <c r="K5" s="68">
        <v>85</v>
      </c>
      <c r="L5" s="69"/>
      <c r="M5" s="69"/>
    </row>
    <row r="6" spans="1:11" ht="12.75">
      <c r="A6" s="3" t="s">
        <v>4</v>
      </c>
      <c r="B6" s="9" t="s">
        <v>9</v>
      </c>
      <c r="C6" s="63">
        <f>IF(L6="",IF(K6="",IF(J6="",IF(I6="",IF(H6="",IF(G6="",IF(F6="",IF(E6="",0,E6*100/E$2),F6*100/F$2),G6*100/G$2),H6*100/H$2),I6*100/I$2),J6*100/J$2),K6*100/K$2),L6*100/L$2)</f>
        <v>94.97878359264499</v>
      </c>
      <c r="D6" s="63"/>
      <c r="E6" s="46">
        <v>40</v>
      </c>
      <c r="F6" s="150">
        <v>41</v>
      </c>
      <c r="G6" s="65">
        <v>33</v>
      </c>
      <c r="H6" s="65">
        <v>45</v>
      </c>
      <c r="I6" s="65"/>
      <c r="J6">
        <v>131</v>
      </c>
      <c r="K6" s="5">
        <v>79</v>
      </c>
    </row>
    <row r="7" spans="1:11" ht="12.75">
      <c r="A7" s="3" t="s">
        <v>5</v>
      </c>
      <c r="B7" s="9" t="s">
        <v>26</v>
      </c>
      <c r="C7" s="63">
        <f>IF(L7="",IF(K7="",IF(J7="",IF(I7="",IF(H7="",IF(G7="",IF(F7="",IF(E7="",0,E7*100/E$2),F7*100/F$2),G7*100/G$2),H7*100/H$2),I7*100/I$2),J7*100/J$2),K7*100/K$2),L7*100/L$2)</f>
        <v>115.41725601131542</v>
      </c>
      <c r="D7" s="63"/>
      <c r="E7" s="6">
        <v>37</v>
      </c>
      <c r="F7" s="150">
        <v>41</v>
      </c>
      <c r="G7" s="65">
        <v>32</v>
      </c>
      <c r="H7" s="6">
        <v>46</v>
      </c>
      <c r="I7" s="6"/>
      <c r="J7">
        <v>121</v>
      </c>
      <c r="K7" s="5">
        <v>96</v>
      </c>
    </row>
    <row r="8" spans="1:11" ht="12.75">
      <c r="A8" s="3" t="s">
        <v>5</v>
      </c>
      <c r="B8" s="51" t="s">
        <v>39</v>
      </c>
      <c r="C8" s="63">
        <f>IF(L8="",IF(K8="",IF(J8="",IF(I8="",IF(H8="",IF(G8="",IF(F8="",IF(E8="",0,E8*100/E$2),F8*100/F$2),G8*100/G$2),H8*100/H$2),I8*100/I$2),J8*100/J$2),K8*100/K$2),L8*100/L$2)</f>
        <v>100.990099009901</v>
      </c>
      <c r="D8" s="3"/>
      <c r="E8" s="46"/>
      <c r="F8" s="150">
        <v>40</v>
      </c>
      <c r="G8" s="6"/>
      <c r="H8" s="6">
        <v>40</v>
      </c>
      <c r="I8" s="6"/>
      <c r="J8">
        <v>110</v>
      </c>
      <c r="K8" s="5">
        <v>84</v>
      </c>
    </row>
    <row r="9" spans="1:11" ht="12.75">
      <c r="A9" s="3" t="s">
        <v>4</v>
      </c>
      <c r="B9" s="9" t="s">
        <v>25</v>
      </c>
      <c r="C9" s="63">
        <f>IF(L9="",IF(K9="",IF(J9="",IF(I9="",IF(H9="",IF(G9="",IF(F9="",IF(E9="",0,E9*100/E$2),F9*100/F$2),G9*100/G$2),H9*100/H$2),I9*100/I$2),J9*100/J$2),K9*100/K$2),L9*100/L$2)</f>
        <v>116.27267729521715</v>
      </c>
      <c r="D9" s="3"/>
      <c r="E9" s="6"/>
      <c r="F9" s="150">
        <v>46</v>
      </c>
      <c r="G9" s="6">
        <v>34</v>
      </c>
      <c r="H9" s="6">
        <v>50</v>
      </c>
      <c r="I9" s="6"/>
      <c r="J9">
        <v>141</v>
      </c>
      <c r="K9" s="5"/>
    </row>
    <row r="10" spans="1:13" ht="12.75">
      <c r="A10" s="3" t="s">
        <v>5</v>
      </c>
      <c r="B10" s="9" t="s">
        <v>43</v>
      </c>
      <c r="C10" s="63">
        <f>IF(L10="",IF(K10="",IF(J10="",IF(I10="",IF(H10="",IF(G10="",IF(F10="",IF(E10="",0,E10*100/E$2),F10*100/F$2),G10*100/G$2),H10*100/H$2),I10*100/I$2),J10*100/J$2),K10*100/K$2),L10*100/L$2)</f>
        <v>86.41975308641976</v>
      </c>
      <c r="D10" s="3"/>
      <c r="E10" s="6"/>
      <c r="F10" s="150">
        <v>41</v>
      </c>
      <c r="G10" s="46">
        <v>25</v>
      </c>
      <c r="H10" s="6"/>
      <c r="I10" s="6"/>
      <c r="J10" s="69"/>
      <c r="K10" s="68"/>
      <c r="L10" s="69"/>
      <c r="M10" s="69"/>
    </row>
    <row r="11" spans="1:11" ht="12.75">
      <c r="A11" s="3" t="s">
        <v>4</v>
      </c>
      <c r="B11" s="9" t="s">
        <v>40</v>
      </c>
      <c r="C11" s="63">
        <f>IF(L11="",IF(K11="",IF(J11="",IF(I11="",IF(H11="",IF(G11="",IF(F11="",IF(E11="",0,E11*100/E$2),F11*100/F$2),G11*100/G$2),H11*100/H$2),I11*100/I$2),J11*100/J$2),K11*100/K$2),L11*100/L$2)</f>
        <v>121.64705882352942</v>
      </c>
      <c r="D11" s="3"/>
      <c r="E11" s="6"/>
      <c r="F11" s="150">
        <v>47</v>
      </c>
      <c r="G11" s="6"/>
      <c r="H11" s="65"/>
      <c r="I11" s="65"/>
      <c r="K11" s="5"/>
    </row>
    <row r="12" spans="1:13" ht="12.75">
      <c r="A12" s="3" t="s">
        <v>5</v>
      </c>
      <c r="B12" s="9" t="s">
        <v>42</v>
      </c>
      <c r="C12" s="63">
        <f>IF(L12="",IF(K12="",IF(J12="",IF(I12="",IF(H12="",IF(G12="",IF(F12="",IF(E12="",0,E12*100/E$2),F12*100/F$2),G12*100/G$2),H12*100/H$2),I12*100/I$2),J12*100/J$2),K12*100/K$2),L12*100/L$2)</f>
        <v>103.70370370370371</v>
      </c>
      <c r="D12" s="63"/>
      <c r="E12" s="6">
        <v>34</v>
      </c>
      <c r="F12" s="150">
        <v>34</v>
      </c>
      <c r="G12" s="65">
        <v>30</v>
      </c>
      <c r="H12" s="6"/>
      <c r="I12" s="6"/>
      <c r="J12" s="69"/>
      <c r="K12" s="68"/>
      <c r="L12" s="69"/>
      <c r="M12" s="69"/>
    </row>
    <row r="13" spans="1:13" ht="12.75">
      <c r="A13" s="3" t="s">
        <v>5</v>
      </c>
      <c r="B13" s="9" t="s">
        <v>27</v>
      </c>
      <c r="C13" s="63">
        <f>IF(L13="",IF(K13="",IF(J13="",IF(I13="",IF(H13="",IF(G13="",IF(F13="",IF(E13="",0,E13*100/E$2),F13*100/F$2),G13*100/G$2),H13*100/H$2),I13*100/I$2),J13*100/J$2),K13*100/K$2),L13*100/L$2)</f>
        <v>104.5968882602546</v>
      </c>
      <c r="D13" s="3" t="s">
        <v>59</v>
      </c>
      <c r="E13" s="6">
        <v>36</v>
      </c>
      <c r="F13" s="150">
        <v>44</v>
      </c>
      <c r="G13" s="6">
        <v>30</v>
      </c>
      <c r="H13" s="65">
        <v>45</v>
      </c>
      <c r="I13" s="65"/>
      <c r="J13" s="69">
        <v>130</v>
      </c>
      <c r="K13" s="68">
        <v>87</v>
      </c>
      <c r="L13" s="69"/>
      <c r="M13" s="69"/>
    </row>
    <row r="14" spans="1:13" ht="12.75">
      <c r="A14" s="3" t="s">
        <v>4</v>
      </c>
      <c r="B14" s="9" t="s">
        <v>28</v>
      </c>
      <c r="C14" s="63">
        <f>IF(L14="",IF(K14="",IF(J14="",IF(I14="",IF(H14="",IF(G14="",IF(F14="",IF(E14="",0,E14*100/E$2),F14*100/F$2),G14*100/G$2),H14*100/H$2),I14*100/I$2),J14*100/J$2),K14*100/K$2),L14*100/L$2)</f>
        <v>102.1923620933522</v>
      </c>
      <c r="D14" s="63"/>
      <c r="E14" s="6">
        <v>35</v>
      </c>
      <c r="F14" s="150">
        <v>40</v>
      </c>
      <c r="G14" s="65">
        <v>28</v>
      </c>
      <c r="H14" s="65">
        <v>44</v>
      </c>
      <c r="I14" s="65"/>
      <c r="J14" s="69">
        <v>129</v>
      </c>
      <c r="K14" s="68">
        <v>85</v>
      </c>
      <c r="L14" s="69"/>
      <c r="M14" s="69"/>
    </row>
    <row r="15" spans="1:11" ht="12.75">
      <c r="A15" s="3" t="s">
        <v>5</v>
      </c>
      <c r="B15" s="108" t="s">
        <v>111</v>
      </c>
      <c r="C15" s="63">
        <f>IF(L15="",IF(K15="",IF(J15="",IF(I15="",IF(H15="",IF(G15="",IF(F15="",IF(E15="",0,E15*100/E$2),F15*100/F$2),G15*100/G$2),H15*100/H$2),I15*100/I$2),J15*100/J$2),K15*100/K$2),L15*100/L$2)</f>
        <v>88.96746817538897</v>
      </c>
      <c r="D15" s="3"/>
      <c r="E15" s="6"/>
      <c r="F15" s="150"/>
      <c r="G15" s="6"/>
      <c r="H15" s="6"/>
      <c r="I15" s="6"/>
      <c r="J15" s="6"/>
      <c r="K15" s="5">
        <v>74</v>
      </c>
    </row>
    <row r="16" spans="1:13" ht="12.75">
      <c r="A16" s="3" t="s">
        <v>5</v>
      </c>
      <c r="B16" s="9" t="s">
        <v>33</v>
      </c>
      <c r="C16" s="63">
        <f>IF(L16="",IF(K16="",IF(J16="",IF(I16="",IF(H16="",IF(G16="",IF(F16="",IF(E16="",0,E16*100/E$2),F16*100/F$2),G16*100/G$2),H16*100/H$2),I16*100/I$2),J16*100/J$2),K16*100/K$2),L16*100/L$2)</f>
        <v>93.77652050919379</v>
      </c>
      <c r="D16" s="63"/>
      <c r="E16" s="6">
        <v>33</v>
      </c>
      <c r="F16" s="150">
        <v>37</v>
      </c>
      <c r="G16" s="65">
        <v>22</v>
      </c>
      <c r="H16" s="65">
        <v>38</v>
      </c>
      <c r="I16" s="65"/>
      <c r="J16" s="128">
        <v>110</v>
      </c>
      <c r="K16" s="5">
        <v>78</v>
      </c>
      <c r="L16" s="69"/>
      <c r="M16" s="69"/>
    </row>
    <row r="17" spans="1:13" ht="12.75">
      <c r="A17" s="3" t="s">
        <v>5</v>
      </c>
      <c r="B17" s="9" t="s">
        <v>54</v>
      </c>
      <c r="C17" s="63">
        <f>IF(L17="",IF(K17="",IF(J17="",IF(I17="",IF(H17="",IF(G17="",IF(F17="",IF(E17="",0,E17*100/E$2),F17*100/F$2),G17*100/G$2),H17*100/H$2),I17*100/I$2),J17*100/J$2),K17*100/K$2),L17*100/L$2)</f>
        <v>103.8961038961039</v>
      </c>
      <c r="D17" s="74"/>
      <c r="E17" s="6">
        <v>35</v>
      </c>
      <c r="F17" s="150"/>
      <c r="G17" s="65"/>
      <c r="H17" s="6"/>
      <c r="I17" s="6"/>
      <c r="J17" s="69"/>
      <c r="K17" s="68"/>
      <c r="L17" s="69"/>
      <c r="M17" s="69"/>
    </row>
    <row r="18" spans="1:11" ht="12.75">
      <c r="A18" s="3" t="s">
        <v>5</v>
      </c>
      <c r="B18" s="9" t="s">
        <v>37</v>
      </c>
      <c r="C18" s="63">
        <f>IF(L18="",IF(K18="",IF(J18="",IF(I18="",IF(H18="",IF(G18="",IF(F18="",IF(E18="",0,E18*100/E$2),F18*100/F$2),G18*100/G$2),H18*100/H$2),I18*100/I$2),J18*100/J$2),K18*100/K$2),L18*100/L$2)</f>
        <v>69.88235294117648</v>
      </c>
      <c r="D18" s="3"/>
      <c r="E18" s="6"/>
      <c r="F18" s="150">
        <v>27</v>
      </c>
      <c r="G18" s="6"/>
      <c r="H18" s="65"/>
      <c r="I18" s="65"/>
      <c r="J18" s="69"/>
      <c r="K18" s="68"/>
    </row>
    <row r="19" spans="1:11" ht="12.75">
      <c r="A19" s="46" t="s">
        <v>5</v>
      </c>
      <c r="B19" s="108" t="s">
        <v>107</v>
      </c>
      <c r="C19" s="63">
        <f>IF(L19="",IF(K19="",IF(J19="",IF(I19="",IF(H19="",IF(G19="",IF(F19="",IF(E19="",0,E19*100/E$2),F19*100/F$2),G19*100/G$2),H19*100/H$2),I19*100/I$2),J19*100/J$2),K19*100/K$2),L19*100/L$2)</f>
        <v>99.69088098918084</v>
      </c>
      <c r="D19" s="3"/>
      <c r="E19" s="6"/>
      <c r="F19" s="150"/>
      <c r="G19" s="6"/>
      <c r="H19" s="6">
        <v>43</v>
      </c>
      <c r="I19" s="6"/>
      <c r="K19" s="5"/>
    </row>
    <row r="20" spans="1:13" ht="12.75">
      <c r="A20" s="6" t="s">
        <v>4</v>
      </c>
      <c r="B20" s="9" t="s">
        <v>10</v>
      </c>
      <c r="C20" s="63">
        <f>IF(L20="",IF(K20="",IF(J20="",IF(I20="",IF(H20="",IF(G20="",IF(F20="",IF(E20="",0,E20*100/E$2),F20*100/F$2),G20*100/G$2),H20*100/H$2),I20*100/I$2),J20*100/J$2),K20*100/K$2),L20*100/L$2)</f>
        <v>117.82178217821783</v>
      </c>
      <c r="D20" s="63"/>
      <c r="E20" s="46">
        <v>42</v>
      </c>
      <c r="F20" s="150">
        <v>49</v>
      </c>
      <c r="G20" s="65">
        <v>34</v>
      </c>
      <c r="H20" s="65">
        <v>51</v>
      </c>
      <c r="I20" s="65"/>
      <c r="J20">
        <v>149</v>
      </c>
      <c r="K20" s="5">
        <v>98</v>
      </c>
      <c r="L20" s="69"/>
      <c r="M20" s="69"/>
    </row>
    <row r="21" spans="1:13" ht="12.75">
      <c r="A21" s="6" t="s">
        <v>5</v>
      </c>
      <c r="B21" s="9" t="s">
        <v>35</v>
      </c>
      <c r="C21" s="63">
        <f>IF(L21="",IF(K21="",IF(J21="",IF(I21="",IF(H21="",IF(G21="",IF(F21="",IF(E21="",0,E21*100/E$2),F21*100/F$2),G21*100/G$2),H21*100/H$2),I21*100/I$2),J21*100/J$2),K21*100/K$2),L21*100/L$2)</f>
        <v>79.50617283950618</v>
      </c>
      <c r="D21" s="63"/>
      <c r="E21" s="6">
        <v>29</v>
      </c>
      <c r="F21" s="150">
        <v>35</v>
      </c>
      <c r="G21" s="65">
        <v>23</v>
      </c>
      <c r="H21" s="6"/>
      <c r="I21" s="6"/>
      <c r="J21" s="69"/>
      <c r="K21" s="68"/>
      <c r="L21" s="69"/>
      <c r="M21" s="69"/>
    </row>
    <row r="22" spans="1:11" ht="12.75">
      <c r="A22" s="6" t="s">
        <v>5</v>
      </c>
      <c r="B22" s="9" t="s">
        <v>24</v>
      </c>
      <c r="C22" s="63">
        <f>IF(L22="",IF(K22="",IF(J22="",IF(I22="",IF(H22="",IF(G22="",IF(F22="",IF(E22="",0,E22*100/E$2),F22*100/F$2),G22*100/G$2),H22*100/H$2),I22*100/I$2),J22*100/J$2),K22*100/K$2),L22*100/L$2)</f>
        <v>103.3946251768034</v>
      </c>
      <c r="D22" s="3"/>
      <c r="E22" s="6">
        <v>30</v>
      </c>
      <c r="F22" s="150">
        <v>40</v>
      </c>
      <c r="G22" s="6">
        <v>26</v>
      </c>
      <c r="H22" s="6">
        <v>41</v>
      </c>
      <c r="I22" s="6"/>
      <c r="J22" s="69">
        <v>111</v>
      </c>
      <c r="K22" s="68">
        <v>86</v>
      </c>
    </row>
    <row r="23" spans="1:13" ht="12.75">
      <c r="A23" s="6" t="s">
        <v>5</v>
      </c>
      <c r="B23" s="51" t="s">
        <v>36</v>
      </c>
      <c r="C23" s="63">
        <f>IF(L23="",IF(K23="",IF(J23="",IF(I23="",IF(H23="",IF(G23="",IF(F23="",IF(E23="",0,E23*100/E$2),F23*100/F$2),G23*100/G$2),H23*100/H$2),I23*100/I$2),J23*100/J$2),K23*100/K$2),L23*100/L$2)</f>
        <v>93.1764705882353</v>
      </c>
      <c r="D23" s="3"/>
      <c r="E23" s="46"/>
      <c r="F23" s="150">
        <v>36</v>
      </c>
      <c r="G23" s="6"/>
      <c r="H23" s="65"/>
      <c r="I23" s="65"/>
      <c r="K23" s="5"/>
      <c r="L23" s="69"/>
      <c r="M23" s="69"/>
    </row>
    <row r="24" spans="1:13" ht="12.75">
      <c r="A24" s="6" t="s">
        <v>5</v>
      </c>
      <c r="B24" s="9" t="s">
        <v>30</v>
      </c>
      <c r="C24" s="63">
        <f>IF(L24="",IF(K24="",IF(J24="",IF(I24="",IF(H24="",IF(G24="",IF(F24="",IF(E24="",0,E24*100/E$2),F24*100/F$2),G24*100/G$2),H24*100/H$2),I24*100/I$2),J24*100/J$2),K24*100/K$2),L24*100/L$2)</f>
        <v>75.74257425742574</v>
      </c>
      <c r="D24" s="63"/>
      <c r="E24" s="6">
        <v>26</v>
      </c>
      <c r="F24" s="150">
        <v>31</v>
      </c>
      <c r="G24" s="65"/>
      <c r="H24" s="65"/>
      <c r="I24" s="65"/>
      <c r="J24" s="69"/>
      <c r="K24" s="68">
        <v>63</v>
      </c>
      <c r="L24" s="69"/>
      <c r="M24" s="69"/>
    </row>
    <row r="25" spans="1:11" ht="12.75">
      <c r="A25" s="6" t="s">
        <v>5</v>
      </c>
      <c r="B25" s="9" t="s">
        <v>53</v>
      </c>
      <c r="C25" s="63">
        <f>IF(L25="",IF(K25="",IF(J25="",IF(I25="",IF(H25="",IF(G25="",IF(F25="",IF(E25="",0,E25*100/E$2),F25*100/F$2),G25*100/G$2),H25*100/H$2),I25*100/I$2),J25*100/J$2),K25*100/K$2),L25*100/L$2)</f>
        <v>89.05992303463441</v>
      </c>
      <c r="D25" s="63"/>
      <c r="E25" s="6">
        <v>30</v>
      </c>
      <c r="F25" s="150"/>
      <c r="G25" s="65"/>
      <c r="H25" s="6"/>
      <c r="I25" s="6"/>
      <c r="J25" s="69">
        <v>108</v>
      </c>
      <c r="K25" s="68"/>
    </row>
    <row r="26" spans="1:11" ht="12.75">
      <c r="A26" s="6" t="s">
        <v>5</v>
      </c>
      <c r="B26" s="108" t="s">
        <v>38</v>
      </c>
      <c r="C26" s="63">
        <f>IF(L26="",IF(K26="",IF(J26="",IF(I26="",IF(H26="",IF(G26="",IF(F26="",IF(E26="",0,E26*100/E$2),F26*100/F$2),G26*100/G$2),H26*100/H$2),I26*100/I$2),J26*100/J$2),K26*100/K$2),L26*100/L$2)</f>
        <v>94.97878359264499</v>
      </c>
      <c r="D26" s="3"/>
      <c r="E26" s="46"/>
      <c r="F26" s="150">
        <v>40</v>
      </c>
      <c r="G26" s="65">
        <v>29</v>
      </c>
      <c r="H26" s="65">
        <v>40</v>
      </c>
      <c r="I26" s="65"/>
      <c r="J26">
        <v>117</v>
      </c>
      <c r="K26" s="5">
        <v>79</v>
      </c>
    </row>
    <row r="27" spans="1:11" ht="12.75">
      <c r="A27" s="6" t="s">
        <v>5</v>
      </c>
      <c r="B27" t="s">
        <v>32</v>
      </c>
      <c r="C27" s="63">
        <f>IF(L27="",IF(K27="",IF(J27="",IF(I27="",IF(H27="",IF(G27="",IF(F27="",IF(E27="",0,E27*100/E$2),F27*100/F$2),G27*100/G$2),H27*100/H$2),I27*100/I$2),J27*100/J$2),K27*100/K$2),L27*100/L$2)</f>
        <v>85.41176470588236</v>
      </c>
      <c r="D27" s="63"/>
      <c r="E27" s="6">
        <v>30</v>
      </c>
      <c r="F27" s="150">
        <v>33</v>
      </c>
      <c r="G27" s="65"/>
      <c r="H27" s="65"/>
      <c r="I27" s="65"/>
      <c r="K27" s="5"/>
    </row>
    <row r="28" spans="1:11" ht="12.75">
      <c r="A28" s="46" t="s">
        <v>5</v>
      </c>
      <c r="B28" s="108" t="s">
        <v>108</v>
      </c>
      <c r="C28" s="63">
        <f>IF(L28="",IF(K28="",IF(J28="",IF(I28="",IF(H28="",IF(G28="",IF(F28="",IF(E28="",0,E28*100/E$2),F28*100/F$2),G28*100/G$2),H28*100/H$2),I28*100/I$2),J28*100/J$2),K28*100/K$2),L28*100/L$2)</f>
        <v>102.1923620933522</v>
      </c>
      <c r="D28" s="3"/>
      <c r="E28" s="6"/>
      <c r="F28" s="150"/>
      <c r="G28" s="6"/>
      <c r="H28" s="6">
        <v>38</v>
      </c>
      <c r="I28" s="6"/>
      <c r="K28" s="5">
        <v>85</v>
      </c>
    </row>
    <row r="29" spans="1:11" ht="12.75">
      <c r="A29" s="6" t="s">
        <v>5</v>
      </c>
      <c r="B29" t="s">
        <v>115</v>
      </c>
      <c r="C29" s="63">
        <f>IF(L29="",IF(K29="",IF(J29="",IF(I29="",IF(H29="",IF(G29="",IF(F29="",IF(E29="",0,E29*100/E$2),F29*100/F$2),G29*100/G$2),H29*100/H$2),I29*100/I$2),J29*100/J$2),K29*100/K$2),L29*100/L$2)</f>
        <v>92.57425742574257</v>
      </c>
      <c r="D29" s="3"/>
      <c r="E29" s="6"/>
      <c r="F29" s="150"/>
      <c r="G29" s="6"/>
      <c r="H29" s="6"/>
      <c r="I29" s="6"/>
      <c r="J29">
        <v>104</v>
      </c>
      <c r="K29" s="5">
        <v>77</v>
      </c>
    </row>
    <row r="30" spans="1:11" ht="12.75">
      <c r="A30" s="6" t="s">
        <v>4</v>
      </c>
      <c r="B30" t="s">
        <v>23</v>
      </c>
      <c r="C30" s="63">
        <f>IF(L30="",IF(K30="",IF(J30="",IF(I30="",IF(H30="",IF(G30="",IF(F30="",IF(E30="",0,E30*100/E$2),F30*100/F$2),G30*100/G$2),H30*100/H$2),I30*100/I$2),J30*100/J$2),K30*100/K$2),L30*100/L$2)</f>
        <v>115.41725601131542</v>
      </c>
      <c r="D30" s="63"/>
      <c r="E30" s="46">
        <v>39</v>
      </c>
      <c r="F30" s="150">
        <v>41</v>
      </c>
      <c r="G30" s="46">
        <v>29</v>
      </c>
      <c r="H30" s="6">
        <v>42</v>
      </c>
      <c r="I30" s="6"/>
      <c r="J30">
        <v>116</v>
      </c>
      <c r="K30" s="5">
        <v>96</v>
      </c>
    </row>
    <row r="31" spans="1:11" ht="12.75">
      <c r="A31" s="6" t="s">
        <v>5</v>
      </c>
      <c r="B31" s="108" t="s">
        <v>34</v>
      </c>
      <c r="C31" s="63">
        <f>IF(L31="",IF(K31="",IF(J31="",IF(I31="",IF(H31="",IF(G31="",IF(F31="",IF(E31="",0,E31*100/E$2),F31*100/F$2),G31*100/G$2),H31*100/H$2),I31*100/I$2),J31*100/J$2),K31*100/K$2),L31*100/L$2)</f>
        <v>82.82352941176471</v>
      </c>
      <c r="D31" s="3"/>
      <c r="E31" s="46"/>
      <c r="F31" s="150">
        <v>32</v>
      </c>
      <c r="G31" s="6"/>
      <c r="H31" s="6"/>
      <c r="I31" s="6"/>
      <c r="K31" s="5"/>
    </row>
    <row r="32" spans="1:11" ht="12.75">
      <c r="A32" s="6"/>
      <c r="C32" s="63">
        <f aca="true" t="shared" si="0" ref="C31:C41">IF(L32="",IF(K32="",IF(J32="",IF(I32="",IF(H32="",IF(G32="",IF(F32="",IF(E32="",0,E32*100/E$2),F32*100/F$2),G32*100/G$2),H32*100/H$2),I32*100/I$2),J32*100/J$2),K32*100/K$2),L32*100/L$2)</f>
        <v>0</v>
      </c>
      <c r="D32" s="3"/>
      <c r="E32" s="6"/>
      <c r="F32" s="150"/>
      <c r="G32" s="6"/>
      <c r="H32" s="6"/>
      <c r="I32" s="6"/>
      <c r="K32" s="5"/>
    </row>
    <row r="33" spans="1:11" ht="12.75">
      <c r="A33" s="6"/>
      <c r="C33" s="63">
        <f t="shared" si="0"/>
        <v>0</v>
      </c>
      <c r="D33" s="3"/>
      <c r="E33" s="6"/>
      <c r="F33" s="150"/>
      <c r="G33" s="6"/>
      <c r="H33" s="6"/>
      <c r="I33" s="6"/>
      <c r="K33" s="5"/>
    </row>
    <row r="34" spans="1:4" ht="12.75">
      <c r="A34" s="9"/>
      <c r="B34" s="9"/>
      <c r="C34" s="64">
        <f t="shared" si="0"/>
        <v>0</v>
      </c>
      <c r="D34" s="9"/>
    </row>
    <row r="35" spans="1:4" ht="12.75">
      <c r="A35" s="9"/>
      <c r="B35" s="9"/>
      <c r="C35" s="64">
        <f t="shared" si="0"/>
        <v>0</v>
      </c>
      <c r="D35" s="9"/>
    </row>
    <row r="36" spans="1:4" ht="12.75">
      <c r="A36" s="9"/>
      <c r="B36" s="9"/>
      <c r="C36" s="64">
        <f t="shared" si="0"/>
        <v>0</v>
      </c>
      <c r="D36" s="9"/>
    </row>
    <row r="37" spans="1:4" ht="12.75">
      <c r="A37" s="9"/>
      <c r="B37" s="9"/>
      <c r="C37" s="64">
        <f t="shared" si="0"/>
        <v>0</v>
      </c>
      <c r="D37" s="9"/>
    </row>
    <row r="38" spans="1:4" ht="12.75">
      <c r="A38" s="9"/>
      <c r="B38" s="9"/>
      <c r="C38" s="64">
        <f t="shared" si="0"/>
        <v>0</v>
      </c>
      <c r="D38" s="9"/>
    </row>
    <row r="39" spans="1:4" ht="12.75">
      <c r="A39" s="9"/>
      <c r="B39" s="9"/>
      <c r="C39" s="64">
        <f t="shared" si="0"/>
        <v>0</v>
      </c>
      <c r="D39" s="9"/>
    </row>
    <row r="40" spans="1:4" ht="12.75">
      <c r="A40" s="9"/>
      <c r="B40" s="9"/>
      <c r="C40" s="64">
        <f t="shared" si="0"/>
        <v>0</v>
      </c>
      <c r="D40" s="9"/>
    </row>
    <row r="41" spans="1:4" ht="12.75">
      <c r="A41" s="9"/>
      <c r="B41" s="9"/>
      <c r="C41" s="64">
        <f t="shared" si="0"/>
        <v>0</v>
      </c>
      <c r="D41" s="9"/>
    </row>
    <row r="42" spans="1:4" ht="12.75">
      <c r="A42" s="9"/>
      <c r="B42" s="9"/>
      <c r="C42" s="64"/>
      <c r="D42" s="9"/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FFFFFF"/>
  </sheetPr>
  <dimension ref="A1:M27"/>
  <sheetViews>
    <sheetView workbookViewId="0" topLeftCell="A2">
      <selection activeCell="B1" sqref="B1:K25"/>
    </sheetView>
  </sheetViews>
  <sheetFormatPr defaultColWidth="9.140625" defaultRowHeight="12.75"/>
  <cols>
    <col min="14" max="14" width="15.00390625" style="0" customWidth="1"/>
    <col min="15" max="15" width="9.140625" style="60" customWidth="1"/>
  </cols>
  <sheetData>
    <row r="1" spans="2:13" ht="12.75">
      <c r="B1" s="44" t="s">
        <v>1</v>
      </c>
      <c r="C1" s="44" t="s">
        <v>14</v>
      </c>
      <c r="D1" s="1" t="s">
        <v>50</v>
      </c>
      <c r="E1" s="72" t="s">
        <v>51</v>
      </c>
      <c r="F1" s="31" t="s">
        <v>52</v>
      </c>
      <c r="G1" s="75" t="s">
        <v>102</v>
      </c>
      <c r="H1" s="152" t="s">
        <v>110</v>
      </c>
      <c r="I1" s="10" t="s">
        <v>113</v>
      </c>
      <c r="J1" s="152" t="s">
        <v>114</v>
      </c>
      <c r="K1" s="32" t="s">
        <v>116</v>
      </c>
      <c r="L1" s="32"/>
      <c r="M1" s="32"/>
    </row>
    <row r="2" spans="2:11" ht="12.75">
      <c r="B2" s="2" t="s">
        <v>26</v>
      </c>
      <c r="C2" s="68">
        <f>SUM(E2:M2)</f>
        <v>114</v>
      </c>
      <c r="D2" s="63"/>
      <c r="E2" s="11">
        <v>14</v>
      </c>
      <c r="F2" s="64">
        <v>16</v>
      </c>
      <c r="G2" s="63">
        <v>18</v>
      </c>
      <c r="H2" s="3">
        <v>21</v>
      </c>
      <c r="I2" s="3">
        <v>21</v>
      </c>
      <c r="J2" s="3">
        <v>11</v>
      </c>
      <c r="K2">
        <v>13</v>
      </c>
    </row>
    <row r="3" spans="2:13" ht="12.75">
      <c r="B3" s="3" t="s">
        <v>24</v>
      </c>
      <c r="C3" s="68">
        <f>SUM(E3:M3)</f>
        <v>106</v>
      </c>
      <c r="D3" s="63"/>
      <c r="E3" s="6">
        <v>13</v>
      </c>
      <c r="F3" s="64">
        <v>11</v>
      </c>
      <c r="G3" s="63">
        <v>15</v>
      </c>
      <c r="H3" s="63">
        <v>14</v>
      </c>
      <c r="I3" s="63">
        <v>17</v>
      </c>
      <c r="J3" s="63">
        <v>13</v>
      </c>
      <c r="K3">
        <v>23</v>
      </c>
      <c r="L3" s="69"/>
      <c r="M3" s="69"/>
    </row>
    <row r="4" spans="2:11" ht="12.75">
      <c r="B4" s="3" t="s">
        <v>38</v>
      </c>
      <c r="C4" s="68">
        <f>SUM(E4:M4)</f>
        <v>97</v>
      </c>
      <c r="D4" s="63"/>
      <c r="E4" s="65"/>
      <c r="F4">
        <v>8</v>
      </c>
      <c r="G4" s="63">
        <v>21</v>
      </c>
      <c r="H4" s="63">
        <v>17</v>
      </c>
      <c r="I4" s="63">
        <v>24</v>
      </c>
      <c r="J4" s="3">
        <v>20</v>
      </c>
      <c r="K4" s="69">
        <v>7</v>
      </c>
    </row>
    <row r="5" spans="2:13" ht="12.75">
      <c r="B5" s="3" t="s">
        <v>10</v>
      </c>
      <c r="C5" s="68">
        <f>SUM(E5:M5)</f>
        <v>87</v>
      </c>
      <c r="D5" s="63"/>
      <c r="E5" s="6">
        <v>14</v>
      </c>
      <c r="F5" s="64">
        <v>15</v>
      </c>
      <c r="G5" s="63">
        <v>14</v>
      </c>
      <c r="H5" s="3">
        <v>10</v>
      </c>
      <c r="I5" s="3">
        <v>9</v>
      </c>
      <c r="J5" s="63">
        <v>10</v>
      </c>
      <c r="K5" s="64">
        <v>15</v>
      </c>
      <c r="L5" s="69"/>
      <c r="M5" s="69"/>
    </row>
    <row r="6" spans="2:13" ht="12.75">
      <c r="B6" s="3" t="s">
        <v>27</v>
      </c>
      <c r="C6" s="68">
        <f>SUM(E6:M6)</f>
        <v>79</v>
      </c>
      <c r="D6" s="3"/>
      <c r="E6" s="6">
        <v>21</v>
      </c>
      <c r="F6" s="9">
        <v>5</v>
      </c>
      <c r="G6" s="63">
        <v>14</v>
      </c>
      <c r="H6" s="63">
        <v>14</v>
      </c>
      <c r="I6" s="63">
        <v>10</v>
      </c>
      <c r="J6" s="63">
        <v>7</v>
      </c>
      <c r="K6" s="69">
        <v>8</v>
      </c>
      <c r="L6" s="69"/>
      <c r="M6" s="69"/>
    </row>
    <row r="7" spans="2:13" ht="12.75">
      <c r="B7" s="3" t="s">
        <v>23</v>
      </c>
      <c r="C7" s="68">
        <f>SUM(E7:M7)</f>
        <v>78</v>
      </c>
      <c r="D7" s="3"/>
      <c r="E7" s="6">
        <v>17</v>
      </c>
      <c r="F7" s="9">
        <v>10</v>
      </c>
      <c r="G7" s="63">
        <v>11</v>
      </c>
      <c r="H7" s="63">
        <v>12</v>
      </c>
      <c r="I7" s="63">
        <v>13</v>
      </c>
      <c r="J7" s="63">
        <v>8</v>
      </c>
      <c r="K7" s="69">
        <v>7</v>
      </c>
      <c r="L7" s="69"/>
      <c r="M7" s="69"/>
    </row>
    <row r="8" spans="2:13" ht="12.75">
      <c r="B8" s="3" t="s">
        <v>39</v>
      </c>
      <c r="C8" s="68">
        <f>SUM(E8:M8)</f>
        <v>76</v>
      </c>
      <c r="D8" s="74"/>
      <c r="E8" s="6">
        <v>5</v>
      </c>
      <c r="F8" s="64">
        <v>12</v>
      </c>
      <c r="G8" s="63"/>
      <c r="H8" s="63">
        <v>12</v>
      </c>
      <c r="I8" s="63">
        <v>16</v>
      </c>
      <c r="J8" s="63">
        <v>18</v>
      </c>
      <c r="K8" s="69">
        <v>13</v>
      </c>
      <c r="L8" s="69"/>
      <c r="M8" s="69"/>
    </row>
    <row r="9" spans="2:13" ht="12.75">
      <c r="B9" s="3" t="s">
        <v>28</v>
      </c>
      <c r="C9" s="68">
        <f>SUM(E9:M9)</f>
        <v>76</v>
      </c>
      <c r="D9" s="63"/>
      <c r="E9" s="6">
        <v>14</v>
      </c>
      <c r="F9" s="64">
        <v>14</v>
      </c>
      <c r="G9" s="63">
        <v>10</v>
      </c>
      <c r="H9" s="63">
        <v>10</v>
      </c>
      <c r="I9" s="63">
        <v>10</v>
      </c>
      <c r="J9" s="63">
        <v>9</v>
      </c>
      <c r="K9" s="69">
        <v>9</v>
      </c>
      <c r="L9" s="69"/>
      <c r="M9" s="69"/>
    </row>
    <row r="10" spans="2:13" ht="12.75">
      <c r="B10" s="3" t="s">
        <v>25</v>
      </c>
      <c r="C10" s="68">
        <f>SUM(E10:M10)</f>
        <v>72</v>
      </c>
      <c r="D10" s="63"/>
      <c r="E10" s="65"/>
      <c r="F10" s="64">
        <v>21</v>
      </c>
      <c r="G10" s="63">
        <v>11</v>
      </c>
      <c r="H10" s="63">
        <v>19</v>
      </c>
      <c r="I10" s="63">
        <v>5</v>
      </c>
      <c r="J10" s="63">
        <v>16</v>
      </c>
      <c r="K10" s="69"/>
      <c r="L10" s="69"/>
      <c r="M10" s="69"/>
    </row>
    <row r="11" spans="2:13" ht="12.75">
      <c r="B11" s="3" t="s">
        <v>9</v>
      </c>
      <c r="C11" s="68">
        <f>SUM(E11:M11)</f>
        <v>64</v>
      </c>
      <c r="D11" s="63"/>
      <c r="E11" s="6">
        <v>10</v>
      </c>
      <c r="F11" s="64">
        <v>6</v>
      </c>
      <c r="G11" s="63">
        <v>8</v>
      </c>
      <c r="H11" s="63">
        <v>6</v>
      </c>
      <c r="I11" s="63">
        <v>5</v>
      </c>
      <c r="J11" s="63">
        <v>14</v>
      </c>
      <c r="K11" s="69">
        <v>15</v>
      </c>
      <c r="L11" s="69"/>
      <c r="M11" s="69"/>
    </row>
    <row r="12" spans="2:13" ht="12.75">
      <c r="B12" s="3" t="s">
        <v>42</v>
      </c>
      <c r="C12" s="68">
        <f>SUM(E12:M12)</f>
        <v>47</v>
      </c>
      <c r="D12" s="63"/>
      <c r="E12" s="6">
        <v>9</v>
      </c>
      <c r="F12" s="64">
        <v>14</v>
      </c>
      <c r="G12" s="63">
        <v>24</v>
      </c>
      <c r="H12" s="63"/>
      <c r="I12" s="63"/>
      <c r="J12" s="63"/>
      <c r="K12" s="69"/>
      <c r="L12" s="69"/>
      <c r="M12" s="69"/>
    </row>
    <row r="13" spans="2:13" ht="12.75">
      <c r="B13" s="3" t="s">
        <v>44</v>
      </c>
      <c r="C13" s="68">
        <f>SUM(E13:M13)</f>
        <v>43</v>
      </c>
      <c r="D13" s="63"/>
      <c r="E13" s="65"/>
      <c r="F13">
        <v>8</v>
      </c>
      <c r="G13" s="63"/>
      <c r="H13" s="3">
        <v>8</v>
      </c>
      <c r="I13" s="3"/>
      <c r="J13" s="3">
        <v>24</v>
      </c>
      <c r="K13" s="69">
        <v>3</v>
      </c>
      <c r="L13" s="69"/>
      <c r="M13" s="69"/>
    </row>
    <row r="14" spans="2:13" ht="12.75">
      <c r="B14" s="3" t="s">
        <v>108</v>
      </c>
      <c r="C14" s="68">
        <f>SUM(E14:M14)</f>
        <v>28</v>
      </c>
      <c r="D14" s="63"/>
      <c r="E14" s="65"/>
      <c r="G14" s="63"/>
      <c r="H14" s="3">
        <v>5</v>
      </c>
      <c r="I14" s="3">
        <v>7</v>
      </c>
      <c r="J14" s="3"/>
      <c r="K14">
        <v>16</v>
      </c>
      <c r="L14" s="69"/>
      <c r="M14" s="69"/>
    </row>
    <row r="15" spans="2:13" ht="12.75">
      <c r="B15" s="99" t="s">
        <v>115</v>
      </c>
      <c r="C15" s="68">
        <f>SUM(E15:M15)</f>
        <v>28</v>
      </c>
      <c r="D15" s="63"/>
      <c r="E15" s="63"/>
      <c r="G15" s="63"/>
      <c r="H15" s="3"/>
      <c r="I15" s="3"/>
      <c r="J15" s="3">
        <v>8</v>
      </c>
      <c r="K15">
        <v>20</v>
      </c>
      <c r="L15" s="69"/>
      <c r="M15" s="69"/>
    </row>
    <row r="16" spans="2:13" ht="12.75">
      <c r="B16" s="3" t="s">
        <v>111</v>
      </c>
      <c r="C16" s="68">
        <f>SUM(E16:M16)</f>
        <v>24</v>
      </c>
      <c r="D16" s="63"/>
      <c r="E16" s="63"/>
      <c r="G16" s="63"/>
      <c r="H16" s="3"/>
      <c r="I16" s="3">
        <v>19</v>
      </c>
      <c r="J16" s="63"/>
      <c r="K16">
        <v>5</v>
      </c>
      <c r="L16" s="69"/>
      <c r="M16" s="69"/>
    </row>
    <row r="17" spans="1:13" ht="12.75">
      <c r="A17" s="6"/>
      <c r="B17" s="6" t="s">
        <v>54</v>
      </c>
      <c r="C17" s="68">
        <f>SUM(E17:M17)</f>
        <v>24</v>
      </c>
      <c r="D17" s="63"/>
      <c r="E17" s="3">
        <v>24</v>
      </c>
      <c r="F17" s="64"/>
      <c r="G17" s="63"/>
      <c r="H17" s="63"/>
      <c r="I17" s="63"/>
      <c r="J17" s="63"/>
      <c r="K17" s="69"/>
      <c r="L17" s="69"/>
      <c r="M17" s="69"/>
    </row>
    <row r="18" spans="1:11" ht="12.75">
      <c r="A18" s="6"/>
      <c r="B18" t="s">
        <v>107</v>
      </c>
      <c r="C18" s="68">
        <f>SUM(E18:M18)</f>
        <v>24</v>
      </c>
      <c r="D18" s="63"/>
      <c r="E18" s="63"/>
      <c r="G18" s="63"/>
      <c r="H18" s="3">
        <v>24</v>
      </c>
      <c r="I18" s="3"/>
      <c r="J18" s="63"/>
      <c r="K18" s="69"/>
    </row>
    <row r="19" spans="1:11" ht="12.75">
      <c r="A19" s="6"/>
      <c r="B19" t="s">
        <v>36</v>
      </c>
      <c r="C19" s="68">
        <f>SUM(E19:M19)</f>
        <v>23</v>
      </c>
      <c r="D19" s="63"/>
      <c r="E19" s="63"/>
      <c r="F19" s="64">
        <v>23</v>
      </c>
      <c r="G19" s="63"/>
      <c r="H19" s="63"/>
      <c r="I19" s="63"/>
      <c r="J19" s="63"/>
      <c r="K19" s="69"/>
    </row>
    <row r="20" spans="1:11" ht="12.75">
      <c r="A20" s="6"/>
      <c r="B20" t="s">
        <v>29</v>
      </c>
      <c r="C20" s="68">
        <f>SUM(E20:M20)</f>
        <v>21</v>
      </c>
      <c r="D20" s="63"/>
      <c r="E20" s="3">
        <v>8</v>
      </c>
      <c r="F20" s="64">
        <v>4</v>
      </c>
      <c r="G20" s="63"/>
      <c r="H20" s="63"/>
      <c r="I20" s="63"/>
      <c r="J20" s="3"/>
      <c r="K20">
        <v>9</v>
      </c>
    </row>
    <row r="21" spans="1:11" ht="12.75">
      <c r="A21" s="6"/>
      <c r="B21" t="s">
        <v>53</v>
      </c>
      <c r="C21" s="68">
        <f>SUM(E21:M21)</f>
        <v>21</v>
      </c>
      <c r="D21" s="63"/>
      <c r="E21" s="3">
        <v>7</v>
      </c>
      <c r="F21" s="64"/>
      <c r="G21" s="63"/>
      <c r="H21" s="3"/>
      <c r="I21" s="3">
        <v>14</v>
      </c>
      <c r="J21" s="63"/>
      <c r="K21" s="69"/>
    </row>
    <row r="22" spans="1:11" ht="12.75">
      <c r="A22" s="6"/>
      <c r="B22" t="s">
        <v>30</v>
      </c>
      <c r="C22" s="68">
        <f>SUM(E22:M22)</f>
        <v>19</v>
      </c>
      <c r="D22" s="63"/>
      <c r="E22" s="3">
        <v>7</v>
      </c>
      <c r="F22" s="64">
        <v>2</v>
      </c>
      <c r="G22" s="63"/>
      <c r="H22" s="63"/>
      <c r="I22" s="63"/>
      <c r="J22" s="3"/>
      <c r="K22">
        <v>10</v>
      </c>
    </row>
    <row r="23" spans="1:10" ht="12.75">
      <c r="A23" s="6"/>
      <c r="B23" t="s">
        <v>40</v>
      </c>
      <c r="C23" s="68">
        <f>SUM(E23:M23)</f>
        <v>17</v>
      </c>
      <c r="D23" s="63"/>
      <c r="E23" s="63"/>
      <c r="F23">
        <v>17</v>
      </c>
      <c r="G23" s="63"/>
      <c r="H23" s="63"/>
      <c r="I23" s="63"/>
      <c r="J23" s="3"/>
    </row>
    <row r="24" spans="1:10" ht="12.75">
      <c r="A24" s="6"/>
      <c r="B24" t="s">
        <v>112</v>
      </c>
      <c r="C24" s="68">
        <f>SUM(E24:M24)</f>
        <v>7</v>
      </c>
      <c r="D24" s="63"/>
      <c r="E24" s="63"/>
      <c r="G24" s="63"/>
      <c r="H24" s="3"/>
      <c r="I24" s="3">
        <v>7</v>
      </c>
      <c r="J24" s="3"/>
    </row>
    <row r="25" spans="1:10" ht="12.75">
      <c r="A25" s="6"/>
      <c r="B25" s="3" t="s">
        <v>37</v>
      </c>
      <c r="C25" s="68">
        <f>SUM(E25:M25)</f>
        <v>2</v>
      </c>
      <c r="D25" s="63"/>
      <c r="E25" s="63"/>
      <c r="F25" s="64">
        <v>2</v>
      </c>
      <c r="G25" s="63"/>
      <c r="H25" s="3"/>
      <c r="I25" s="3"/>
      <c r="J25" s="3"/>
    </row>
    <row r="26" ht="12.75">
      <c r="B26" s="99"/>
    </row>
    <row r="27" ht="12.75">
      <c r="B27" s="99"/>
    </row>
  </sheetData>
  <sheetProtection selectLockedCells="1"/>
  <dataValidations count="1">
    <dataValidation type="list" allowBlank="1" showInputMessage="1" showErrorMessage="1" sqref="B25:B27">
      <formula1>ClassicDrivers</formula1>
    </dataValidation>
  </dataValidation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rgb="FFFFFFFF"/>
  </sheetPr>
  <dimension ref="A1:N19"/>
  <sheetViews>
    <sheetView workbookViewId="0" topLeftCell="A1">
      <selection activeCell="G12" sqref="G12"/>
    </sheetView>
  </sheetViews>
  <sheetFormatPr defaultColWidth="9.140625" defaultRowHeight="12.75"/>
  <cols>
    <col min="14" max="14" width="15.00390625" style="0" customWidth="1"/>
    <col min="15" max="15" width="9.140625" style="60" customWidth="1"/>
  </cols>
  <sheetData>
    <row r="1" spans="1:14" ht="12.75">
      <c r="A1" s="6"/>
      <c r="B1" s="1" t="s">
        <v>1</v>
      </c>
      <c r="C1" s="1" t="s">
        <v>48</v>
      </c>
      <c r="D1" s="1">
        <v>2007</v>
      </c>
      <c r="E1" s="31" t="s">
        <v>51</v>
      </c>
      <c r="F1" s="31" t="s">
        <v>52</v>
      </c>
      <c r="G1" s="31" t="s">
        <v>102</v>
      </c>
      <c r="H1" s="10" t="s">
        <v>110</v>
      </c>
      <c r="I1" s="10" t="s">
        <v>113</v>
      </c>
      <c r="J1" s="10" t="s">
        <v>114</v>
      </c>
      <c r="K1" s="10" t="s">
        <v>116</v>
      </c>
      <c r="L1" s="10"/>
      <c r="M1" s="32"/>
      <c r="N1" s="32"/>
    </row>
    <row r="2" spans="1:13" ht="12.75">
      <c r="A2" s="6"/>
      <c r="B2" s="3" t="s">
        <v>40</v>
      </c>
      <c r="C2" s="3">
        <f>SUM(D2:M2)</f>
        <v>18</v>
      </c>
      <c r="D2" s="63">
        <v>17</v>
      </c>
      <c r="E2" s="63"/>
      <c r="F2" s="63">
        <v>1</v>
      </c>
      <c r="G2" s="63"/>
      <c r="H2" s="63"/>
      <c r="I2" s="63"/>
      <c r="J2" s="63"/>
      <c r="K2" s="63"/>
      <c r="L2" s="63"/>
      <c r="M2" s="69"/>
    </row>
    <row r="3" spans="1:13" ht="12.75">
      <c r="A3" s="6"/>
      <c r="B3" s="3" t="s">
        <v>44</v>
      </c>
      <c r="C3" s="3">
        <f>SUM(D3:M3)</f>
        <v>17</v>
      </c>
      <c r="D3" s="3"/>
      <c r="E3" s="3"/>
      <c r="F3" s="3"/>
      <c r="G3" s="3"/>
      <c r="H3" s="3"/>
      <c r="I3" s="3"/>
      <c r="J3" s="3">
        <v>18</v>
      </c>
      <c r="K3" s="63">
        <v>-1</v>
      </c>
      <c r="L3" s="63"/>
      <c r="M3" s="69"/>
    </row>
    <row r="4" spans="1:13" ht="12.75">
      <c r="A4" s="6"/>
      <c r="B4" s="3" t="s">
        <v>25</v>
      </c>
      <c r="C4" s="3">
        <f>SUM(D4:M4)</f>
        <v>17</v>
      </c>
      <c r="D4" s="74">
        <v>12</v>
      </c>
      <c r="E4" s="63"/>
      <c r="F4" s="63">
        <v>4</v>
      </c>
      <c r="G4" s="63">
        <v>-1</v>
      </c>
      <c r="H4" s="63">
        <v>3</v>
      </c>
      <c r="I4" s="63">
        <v>-1</v>
      </c>
      <c r="J4" s="63"/>
      <c r="K4" s="63"/>
      <c r="L4" s="63"/>
      <c r="M4" s="69"/>
    </row>
    <row r="5" spans="1:13" ht="12.75">
      <c r="A5" s="6"/>
      <c r="B5" s="3" t="s">
        <v>10</v>
      </c>
      <c r="C5" s="3">
        <f>SUM(D5:M5)</f>
        <v>15</v>
      </c>
      <c r="D5" s="63">
        <v>18</v>
      </c>
      <c r="E5" s="63"/>
      <c r="F5" s="63">
        <v>0</v>
      </c>
      <c r="G5" s="63"/>
      <c r="H5" s="63">
        <v>-1</v>
      </c>
      <c r="I5" s="63">
        <v>-1</v>
      </c>
      <c r="J5" s="63">
        <v>-1</v>
      </c>
      <c r="K5" s="63"/>
      <c r="L5" s="63"/>
      <c r="M5" s="69"/>
    </row>
    <row r="6" spans="1:13" ht="12.75">
      <c r="A6" s="6"/>
      <c r="B6" s="3" t="s">
        <v>49</v>
      </c>
      <c r="C6" s="3">
        <f>SUM(D6:M6)</f>
        <v>14</v>
      </c>
      <c r="D6" s="63"/>
      <c r="E6" s="63">
        <v>14</v>
      </c>
      <c r="F6" s="63"/>
      <c r="G6" s="63"/>
      <c r="H6" s="63"/>
      <c r="I6" s="63"/>
      <c r="J6" s="63"/>
      <c r="K6" s="63"/>
      <c r="L6" s="63"/>
      <c r="M6" s="69"/>
    </row>
    <row r="7" spans="1:13" ht="12.75">
      <c r="A7" s="6"/>
      <c r="B7" s="3" t="s">
        <v>38</v>
      </c>
      <c r="C7" s="3">
        <f>SUM(D7:M7)</f>
        <v>12</v>
      </c>
      <c r="D7" s="63">
        <v>1</v>
      </c>
      <c r="E7" s="63"/>
      <c r="F7" s="63">
        <v>-1</v>
      </c>
      <c r="G7" s="63">
        <v>4</v>
      </c>
      <c r="H7" s="63"/>
      <c r="I7" s="63">
        <v>5</v>
      </c>
      <c r="J7" s="63">
        <v>4</v>
      </c>
      <c r="K7" s="63">
        <v>-1</v>
      </c>
      <c r="L7" s="63"/>
      <c r="M7" s="69"/>
    </row>
    <row r="8" spans="1:13" ht="12.75">
      <c r="A8" s="6"/>
      <c r="B8" s="3" t="s">
        <v>9</v>
      </c>
      <c r="C8" s="3">
        <f>SUM(D8:M8)</f>
        <v>11</v>
      </c>
      <c r="D8" s="63">
        <v>14</v>
      </c>
      <c r="E8" s="63">
        <v>-1</v>
      </c>
      <c r="F8" s="63">
        <v>-1</v>
      </c>
      <c r="G8" s="63">
        <v>-1</v>
      </c>
      <c r="H8" s="63">
        <v>-1</v>
      </c>
      <c r="I8" s="63">
        <v>-1</v>
      </c>
      <c r="J8" s="63"/>
      <c r="K8" s="63">
        <v>2</v>
      </c>
      <c r="L8" s="63"/>
      <c r="M8" s="69"/>
    </row>
    <row r="9" spans="1:13" ht="12.75">
      <c r="A9" s="6"/>
      <c r="B9" s="3" t="s">
        <v>26</v>
      </c>
      <c r="C9" s="3">
        <f>SUM(D9:M9)</f>
        <v>11</v>
      </c>
      <c r="D9" s="63">
        <v>5</v>
      </c>
      <c r="E9" s="63" t="s">
        <v>41</v>
      </c>
      <c r="F9" s="63">
        <v>1</v>
      </c>
      <c r="G9" s="63">
        <v>1</v>
      </c>
      <c r="H9" s="63">
        <v>3</v>
      </c>
      <c r="I9" s="63">
        <v>2</v>
      </c>
      <c r="J9" s="63">
        <v>-1</v>
      </c>
      <c r="K9" s="63"/>
      <c r="L9" s="63"/>
      <c r="M9" s="69"/>
    </row>
    <row r="10" spans="1:13" ht="12.75">
      <c r="A10" s="6"/>
      <c r="B10" s="3" t="s">
        <v>24</v>
      </c>
      <c r="C10" s="3">
        <f>SUM(D10:M10)</f>
        <v>10</v>
      </c>
      <c r="D10" s="3"/>
      <c r="E10" s="3"/>
      <c r="F10" s="3"/>
      <c r="G10" s="3"/>
      <c r="H10" s="3"/>
      <c r="I10" s="3"/>
      <c r="J10" s="3"/>
      <c r="K10" s="3">
        <v>10</v>
      </c>
      <c r="L10" s="63"/>
      <c r="M10" s="69"/>
    </row>
    <row r="11" spans="1:13" ht="12.75">
      <c r="A11" s="6"/>
      <c r="B11" s="3" t="s">
        <v>42</v>
      </c>
      <c r="C11" s="3">
        <f>SUM(D11:M11)</f>
        <v>9</v>
      </c>
      <c r="D11" s="63"/>
      <c r="E11" s="63"/>
      <c r="F11" s="63">
        <v>0</v>
      </c>
      <c r="G11" s="63">
        <v>9</v>
      </c>
      <c r="H11" s="63"/>
      <c r="I11" s="63"/>
      <c r="J11" s="63"/>
      <c r="K11" s="63"/>
      <c r="L11" s="63"/>
      <c r="M11" s="69"/>
    </row>
    <row r="12" spans="1:13" ht="12.75">
      <c r="A12" s="6"/>
      <c r="B12" s="3" t="s">
        <v>39</v>
      </c>
      <c r="C12" s="3">
        <f>SUM(D12:M12)</f>
        <v>8</v>
      </c>
      <c r="D12" s="63">
        <v>8</v>
      </c>
      <c r="E12" s="63">
        <v>-1</v>
      </c>
      <c r="F12" s="63">
        <v>0</v>
      </c>
      <c r="G12" s="63"/>
      <c r="H12" s="63"/>
      <c r="I12" s="63"/>
      <c r="J12" s="63">
        <v>1</v>
      </c>
      <c r="K12" s="63"/>
      <c r="L12" s="63"/>
      <c r="M12" s="69"/>
    </row>
    <row r="13" spans="1:13" ht="12.75">
      <c r="A13" s="6"/>
      <c r="B13" s="3" t="s">
        <v>27</v>
      </c>
      <c r="C13" s="3">
        <f>SUM(D13:M13)</f>
        <v>8</v>
      </c>
      <c r="D13" s="63">
        <v>6</v>
      </c>
      <c r="E13" s="63">
        <v>6</v>
      </c>
      <c r="F13" s="63">
        <v>-1</v>
      </c>
      <c r="G13" s="63"/>
      <c r="H13" s="63"/>
      <c r="I13" s="63">
        <v>-1</v>
      </c>
      <c r="J13" s="63">
        <v>-1</v>
      </c>
      <c r="K13" s="63">
        <v>-1</v>
      </c>
      <c r="L13" s="63"/>
      <c r="M13" s="69"/>
    </row>
    <row r="14" spans="1:13" ht="12.75">
      <c r="A14" s="6"/>
      <c r="B14" s="3" t="s">
        <v>28</v>
      </c>
      <c r="C14" s="3">
        <f>SUM(D14:M14)</f>
        <v>8</v>
      </c>
      <c r="D14" s="63">
        <v>13</v>
      </c>
      <c r="E14" s="63" t="s">
        <v>41</v>
      </c>
      <c r="F14" s="63">
        <v>0</v>
      </c>
      <c r="G14" s="63">
        <v>-1</v>
      </c>
      <c r="H14" s="63">
        <v>-1</v>
      </c>
      <c r="I14" s="63">
        <v>-1</v>
      </c>
      <c r="J14" s="63">
        <v>-1</v>
      </c>
      <c r="K14" s="63">
        <v>-1</v>
      </c>
      <c r="L14" s="63"/>
      <c r="M14" s="69"/>
    </row>
    <row r="15" spans="1:13" ht="12.75">
      <c r="A15" s="6"/>
      <c r="B15" s="3" t="s">
        <v>107</v>
      </c>
      <c r="C15" s="3">
        <f>SUM(D15:M15)</f>
        <v>8</v>
      </c>
      <c r="D15" s="63"/>
      <c r="E15" s="63"/>
      <c r="F15" s="63">
        <v>0</v>
      </c>
      <c r="G15" s="63"/>
      <c r="H15" s="63">
        <v>8</v>
      </c>
      <c r="I15" s="63"/>
      <c r="J15" s="63"/>
      <c r="K15" s="63"/>
      <c r="L15" s="63"/>
      <c r="M15" s="69"/>
    </row>
    <row r="16" spans="1:12" ht="12.75">
      <c r="A16" s="6"/>
      <c r="B16" s="3" t="s">
        <v>36</v>
      </c>
      <c r="C16" s="3">
        <f>SUM(D16:M16)</f>
        <v>8</v>
      </c>
      <c r="D16" s="63"/>
      <c r="E16" s="63"/>
      <c r="F16" s="63">
        <v>8</v>
      </c>
      <c r="G16" s="63"/>
      <c r="H16" s="63"/>
      <c r="I16" s="63"/>
      <c r="J16" s="63"/>
      <c r="K16" s="63"/>
      <c r="L16" s="3"/>
    </row>
    <row r="17" spans="1:12" ht="12.75">
      <c r="A17" s="6"/>
      <c r="B17" s="3" t="s">
        <v>115</v>
      </c>
      <c r="C17" s="3">
        <f>SUM(D17:M17)</f>
        <v>6</v>
      </c>
      <c r="D17" s="3"/>
      <c r="E17" s="3"/>
      <c r="F17" s="3"/>
      <c r="G17" s="3"/>
      <c r="H17" s="3"/>
      <c r="I17" s="3"/>
      <c r="J17" s="3"/>
      <c r="K17" s="3">
        <v>6</v>
      </c>
      <c r="L17" s="3"/>
    </row>
    <row r="18" spans="1:12" ht="12.75">
      <c r="A18" s="6"/>
      <c r="B18" s="3" t="s">
        <v>23</v>
      </c>
      <c r="C18" s="3">
        <f>SUM(D18:M18)</f>
        <v>6</v>
      </c>
      <c r="D18" s="63">
        <v>8</v>
      </c>
      <c r="E18" s="63">
        <v>2</v>
      </c>
      <c r="F18" s="63">
        <v>-1</v>
      </c>
      <c r="G18" s="63">
        <v>-1</v>
      </c>
      <c r="H18" s="63"/>
      <c r="I18" s="63"/>
      <c r="J18" s="63">
        <v>-1</v>
      </c>
      <c r="K18" s="3">
        <v>-1</v>
      </c>
      <c r="L18" s="3"/>
    </row>
    <row r="19" spans="1:12" ht="12.75">
      <c r="A19" s="6"/>
      <c r="B19" s="3" t="s">
        <v>111</v>
      </c>
      <c r="C19" s="3">
        <f>SUM(D19:M19)</f>
        <v>1</v>
      </c>
      <c r="D19" s="3"/>
      <c r="E19" s="3"/>
      <c r="F19" s="3"/>
      <c r="G19" s="3"/>
      <c r="H19" s="3"/>
      <c r="I19" s="3">
        <v>2</v>
      </c>
      <c r="J19" s="3"/>
      <c r="K19" s="3">
        <v>-1</v>
      </c>
      <c r="L19" s="3"/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rgb="FFFFFFFF"/>
  </sheetPr>
  <dimension ref="A1:M26"/>
  <sheetViews>
    <sheetView workbookViewId="0" topLeftCell="B1">
      <selection activeCell="K2" sqref="K2"/>
    </sheetView>
  </sheetViews>
  <sheetFormatPr defaultColWidth="9.140625" defaultRowHeight="12.75"/>
  <cols>
    <col min="1" max="1" width="13.7109375" style="0" customWidth="1"/>
    <col min="14" max="14" width="15.00390625" style="0" customWidth="1"/>
    <col min="15" max="15" width="9.140625" style="60" customWidth="1"/>
  </cols>
  <sheetData>
    <row r="1" spans="1:13" ht="12.75">
      <c r="A1" s="44" t="s">
        <v>3</v>
      </c>
      <c r="B1" s="1" t="s">
        <v>1</v>
      </c>
      <c r="C1" s="1" t="s">
        <v>14</v>
      </c>
      <c r="D1" s="44" t="s">
        <v>50</v>
      </c>
      <c r="E1" s="31" t="s">
        <v>51</v>
      </c>
      <c r="F1" s="76" t="s">
        <v>52</v>
      </c>
      <c r="G1" s="31" t="s">
        <v>102</v>
      </c>
      <c r="H1" s="10" t="s">
        <v>110</v>
      </c>
      <c r="I1" s="10" t="s">
        <v>113</v>
      </c>
      <c r="J1" s="10" t="s">
        <v>114</v>
      </c>
      <c r="K1" s="32" t="s">
        <v>116</v>
      </c>
      <c r="L1" s="32"/>
      <c r="M1" s="32"/>
    </row>
    <row r="2" spans="1:10" ht="12.75">
      <c r="A2" t="s">
        <v>7</v>
      </c>
      <c r="B2" s="3" t="s">
        <v>9</v>
      </c>
      <c r="C2" s="63">
        <f aca="true" t="shared" si="0" ref="C2:C26">SUM(E2:M2)</f>
        <v>111</v>
      </c>
      <c r="D2" s="68"/>
      <c r="E2" s="3">
        <v>25</v>
      </c>
      <c r="F2" s="68">
        <v>20</v>
      </c>
      <c r="G2" s="3">
        <v>21</v>
      </c>
      <c r="H2" s="3">
        <v>21</v>
      </c>
      <c r="I2" s="3">
        <v>24</v>
      </c>
      <c r="J2" s="3"/>
    </row>
    <row r="3" spans="1:13" ht="12.75">
      <c r="A3" t="s">
        <v>7</v>
      </c>
      <c r="B3" s="3" t="s">
        <v>27</v>
      </c>
      <c r="C3" s="63">
        <f t="shared" si="0"/>
        <v>103</v>
      </c>
      <c r="D3" s="68"/>
      <c r="E3" s="3">
        <v>16</v>
      </c>
      <c r="F3" s="68">
        <v>24</v>
      </c>
      <c r="G3" s="63">
        <v>19</v>
      </c>
      <c r="H3" s="63">
        <v>24</v>
      </c>
      <c r="I3" s="63">
        <v>20</v>
      </c>
      <c r="J3" s="63"/>
      <c r="K3" s="69"/>
      <c r="L3" s="69"/>
      <c r="M3" s="69"/>
    </row>
    <row r="4" spans="1:10" ht="12.75">
      <c r="A4" t="s">
        <v>7</v>
      </c>
      <c r="B4" s="3" t="s">
        <v>24</v>
      </c>
      <c r="C4" s="63">
        <f t="shared" si="0"/>
        <v>67</v>
      </c>
      <c r="D4" s="5"/>
      <c r="E4" s="3">
        <v>12</v>
      </c>
      <c r="F4" s="5">
        <v>11</v>
      </c>
      <c r="G4" s="63">
        <v>15</v>
      </c>
      <c r="H4" s="63">
        <v>11</v>
      </c>
      <c r="I4" s="63">
        <v>18</v>
      </c>
      <c r="J4" s="3"/>
    </row>
    <row r="5" spans="1:13" ht="12.75">
      <c r="A5" t="s">
        <v>7</v>
      </c>
      <c r="B5" s="3" t="s">
        <v>39</v>
      </c>
      <c r="C5" s="63">
        <f t="shared" si="0"/>
        <v>66</v>
      </c>
      <c r="D5" s="68"/>
      <c r="E5" s="3">
        <v>16</v>
      </c>
      <c r="F5" s="68">
        <v>15</v>
      </c>
      <c r="G5" s="3"/>
      <c r="H5" s="63">
        <v>19</v>
      </c>
      <c r="I5" s="63">
        <v>16</v>
      </c>
      <c r="J5" s="63"/>
      <c r="K5" s="69"/>
      <c r="L5" s="69"/>
      <c r="M5" s="69"/>
    </row>
    <row r="6" spans="1:13" ht="12.75">
      <c r="A6" t="s">
        <v>7</v>
      </c>
      <c r="B6" s="3" t="s">
        <v>42</v>
      </c>
      <c r="C6" s="63">
        <f t="shared" si="0"/>
        <v>46</v>
      </c>
      <c r="D6" s="68"/>
      <c r="E6" s="3">
        <v>14</v>
      </c>
      <c r="F6" s="68">
        <v>12</v>
      </c>
      <c r="G6" s="63">
        <v>20</v>
      </c>
      <c r="H6" s="3"/>
      <c r="I6" s="3"/>
      <c r="J6" s="63"/>
      <c r="K6" s="69"/>
      <c r="L6" s="69"/>
      <c r="M6" s="69"/>
    </row>
    <row r="7" spans="1:13" ht="12.75">
      <c r="A7" t="s">
        <v>7</v>
      </c>
      <c r="B7" s="3" t="s">
        <v>38</v>
      </c>
      <c r="C7" s="63">
        <f t="shared" si="0"/>
        <v>42</v>
      </c>
      <c r="D7" s="5"/>
      <c r="E7" s="3"/>
      <c r="F7" s="5">
        <v>14</v>
      </c>
      <c r="G7" s="63"/>
      <c r="H7" s="63">
        <v>15</v>
      </c>
      <c r="I7" s="63">
        <v>13</v>
      </c>
      <c r="J7" s="63"/>
      <c r="K7" s="69"/>
      <c r="L7" s="69"/>
      <c r="M7" s="69"/>
    </row>
    <row r="8" spans="1:13" ht="12.75">
      <c r="A8" t="s">
        <v>7</v>
      </c>
      <c r="B8" s="3" t="s">
        <v>54</v>
      </c>
      <c r="C8" s="63">
        <f t="shared" si="0"/>
        <v>21</v>
      </c>
      <c r="D8" s="5"/>
      <c r="E8" s="3">
        <v>21</v>
      </c>
      <c r="F8" s="5"/>
      <c r="G8" s="63"/>
      <c r="H8" s="63"/>
      <c r="I8" s="63"/>
      <c r="J8" s="63"/>
      <c r="K8" s="69"/>
      <c r="L8" s="69"/>
      <c r="M8" s="69"/>
    </row>
    <row r="9" spans="1:13" ht="12.75">
      <c r="A9" t="s">
        <v>7</v>
      </c>
      <c r="B9" s="3" t="s">
        <v>36</v>
      </c>
      <c r="C9" s="63">
        <f t="shared" si="0"/>
        <v>18</v>
      </c>
      <c r="D9" s="68"/>
      <c r="E9" s="63"/>
      <c r="F9" s="68">
        <v>18</v>
      </c>
      <c r="G9" s="63"/>
      <c r="H9" s="63"/>
      <c r="I9" s="63"/>
      <c r="J9" s="63"/>
      <c r="K9" s="69"/>
      <c r="L9" s="69"/>
      <c r="M9" s="69"/>
    </row>
    <row r="10" spans="1:13" ht="12.75">
      <c r="A10" t="s">
        <v>7</v>
      </c>
      <c r="B10" s="3" t="s">
        <v>34</v>
      </c>
      <c r="C10" s="63">
        <f t="shared" si="0"/>
        <v>17</v>
      </c>
      <c r="D10" s="68"/>
      <c r="E10" s="63"/>
      <c r="F10" s="68">
        <v>17</v>
      </c>
      <c r="G10" s="63"/>
      <c r="H10" s="63"/>
      <c r="I10" s="63"/>
      <c r="J10" s="63"/>
      <c r="K10" s="69"/>
      <c r="L10" s="69"/>
      <c r="M10" s="69"/>
    </row>
    <row r="11" spans="1:13" ht="12.75">
      <c r="A11" t="s">
        <v>7</v>
      </c>
      <c r="B11" s="3" t="s">
        <v>112</v>
      </c>
      <c r="C11" s="63">
        <f t="shared" si="0"/>
        <v>15</v>
      </c>
      <c r="D11" s="5"/>
      <c r="E11" s="3"/>
      <c r="F11" s="5"/>
      <c r="G11" s="3"/>
      <c r="H11" s="3" t="s">
        <v>59</v>
      </c>
      <c r="I11" s="3">
        <v>15</v>
      </c>
      <c r="J11" s="63"/>
      <c r="K11" s="69"/>
      <c r="L11" s="69"/>
      <c r="M11" s="69"/>
    </row>
    <row r="12" spans="1:13" ht="12.75">
      <c r="A12" t="s">
        <v>7</v>
      </c>
      <c r="B12" s="3" t="s">
        <v>107</v>
      </c>
      <c r="C12" s="63">
        <f t="shared" si="0"/>
        <v>14</v>
      </c>
      <c r="D12" s="68"/>
      <c r="E12" s="63"/>
      <c r="F12" s="68"/>
      <c r="G12" s="63"/>
      <c r="H12" s="3">
        <v>14</v>
      </c>
      <c r="I12" s="3"/>
      <c r="J12" s="63"/>
      <c r="K12" s="69"/>
      <c r="L12" s="69"/>
      <c r="M12" s="69"/>
    </row>
    <row r="13" spans="1:13" ht="12.75">
      <c r="A13" t="s">
        <v>7</v>
      </c>
      <c r="B13" s="3" t="s">
        <v>44</v>
      </c>
      <c r="C13" s="63">
        <f t="shared" si="0"/>
        <v>13</v>
      </c>
      <c r="D13" s="5"/>
      <c r="E13" s="3"/>
      <c r="F13" s="5"/>
      <c r="G13" s="3"/>
      <c r="H13" s="3">
        <v>13</v>
      </c>
      <c r="I13" s="3"/>
      <c r="J13" s="63"/>
      <c r="K13" s="69"/>
      <c r="L13" s="69"/>
      <c r="M13" s="69"/>
    </row>
    <row r="14" spans="1:13" ht="12.75">
      <c r="A14" t="s">
        <v>7</v>
      </c>
      <c r="B14" s="3" t="s">
        <v>30</v>
      </c>
      <c r="C14" s="63">
        <f t="shared" si="0"/>
        <v>11</v>
      </c>
      <c r="D14" s="68"/>
      <c r="E14" s="3">
        <v>11</v>
      </c>
      <c r="F14" s="68"/>
      <c r="G14" s="3"/>
      <c r="H14" s="63"/>
      <c r="I14" s="63"/>
      <c r="J14" s="63"/>
      <c r="K14" s="69"/>
      <c r="L14" s="69"/>
      <c r="M14" s="69"/>
    </row>
    <row r="15" spans="1:13" ht="12.75">
      <c r="A15" t="s">
        <v>7</v>
      </c>
      <c r="B15" s="3" t="s">
        <v>32</v>
      </c>
      <c r="C15" s="63">
        <f t="shared" si="0"/>
        <v>10</v>
      </c>
      <c r="D15" s="5"/>
      <c r="E15" s="3"/>
      <c r="F15" s="5">
        <v>10</v>
      </c>
      <c r="G15" s="3"/>
      <c r="H15" s="63"/>
      <c r="I15" s="63"/>
      <c r="J15" s="63"/>
      <c r="K15" s="69"/>
      <c r="L15" s="69"/>
      <c r="M15" s="69"/>
    </row>
    <row r="16" spans="1:13" ht="12.75">
      <c r="A16" t="s">
        <v>7</v>
      </c>
      <c r="B16" s="3" t="s">
        <v>29</v>
      </c>
      <c r="C16" s="63">
        <f t="shared" si="0"/>
        <v>8</v>
      </c>
      <c r="D16" s="5"/>
      <c r="E16" s="3"/>
      <c r="F16" s="5">
        <v>8</v>
      </c>
      <c r="G16" s="3"/>
      <c r="H16" s="63"/>
      <c r="I16" s="63"/>
      <c r="J16" s="63"/>
      <c r="K16" s="69"/>
      <c r="L16" s="69"/>
      <c r="M16" s="69"/>
    </row>
    <row r="17" spans="1:13" ht="12.75">
      <c r="A17" t="s">
        <v>7</v>
      </c>
      <c r="B17" s="3" t="s">
        <v>37</v>
      </c>
      <c r="C17" s="63">
        <f t="shared" si="0"/>
        <v>8</v>
      </c>
      <c r="D17" s="5"/>
      <c r="E17" s="3"/>
      <c r="F17" s="5">
        <v>8</v>
      </c>
      <c r="G17" s="3"/>
      <c r="H17" s="63"/>
      <c r="I17" s="63"/>
      <c r="J17" s="63"/>
      <c r="K17" s="69"/>
      <c r="L17" s="69"/>
      <c r="M17" s="69"/>
    </row>
    <row r="18" spans="1:10" ht="12.75">
      <c r="A18" t="s">
        <v>8</v>
      </c>
      <c r="B18" s="3" t="s">
        <v>10</v>
      </c>
      <c r="C18" s="63">
        <f t="shared" si="0"/>
        <v>120</v>
      </c>
      <c r="D18" s="68"/>
      <c r="E18" s="3">
        <v>24</v>
      </c>
      <c r="F18" s="68">
        <v>24</v>
      </c>
      <c r="G18" s="63">
        <v>24</v>
      </c>
      <c r="H18" s="63">
        <v>23</v>
      </c>
      <c r="I18" s="63">
        <v>25</v>
      </c>
      <c r="J18" s="3"/>
    </row>
    <row r="19" spans="1:10" ht="12.75">
      <c r="A19" t="s">
        <v>8</v>
      </c>
      <c r="B19" s="3" t="s">
        <v>25</v>
      </c>
      <c r="C19" s="63">
        <f t="shared" si="0"/>
        <v>85</v>
      </c>
      <c r="D19" s="68"/>
      <c r="E19" s="3"/>
      <c r="F19" s="68">
        <v>20</v>
      </c>
      <c r="G19" s="63">
        <v>24</v>
      </c>
      <c r="H19" s="3">
        <v>22</v>
      </c>
      <c r="I19" s="3">
        <v>19</v>
      </c>
      <c r="J19" s="3"/>
    </row>
    <row r="20" spans="1:10" ht="12.75">
      <c r="A20" t="s">
        <v>8</v>
      </c>
      <c r="B20" s="3" t="s">
        <v>23</v>
      </c>
      <c r="C20" s="63">
        <f t="shared" si="0"/>
        <v>78</v>
      </c>
      <c r="D20" s="68"/>
      <c r="E20" s="3">
        <v>14</v>
      </c>
      <c r="F20" s="68">
        <v>17</v>
      </c>
      <c r="G20" s="63">
        <v>16</v>
      </c>
      <c r="H20" s="63">
        <v>16</v>
      </c>
      <c r="I20" s="63">
        <v>15</v>
      </c>
      <c r="J20" s="3"/>
    </row>
    <row r="21" spans="1:10" ht="12.75">
      <c r="A21" t="s">
        <v>8</v>
      </c>
      <c r="B21" s="3" t="s">
        <v>28</v>
      </c>
      <c r="C21" s="63">
        <f t="shared" si="0"/>
        <v>76</v>
      </c>
      <c r="D21" s="68"/>
      <c r="E21" s="3">
        <v>15</v>
      </c>
      <c r="F21" s="68">
        <v>13</v>
      </c>
      <c r="G21" s="63">
        <v>15</v>
      </c>
      <c r="H21" s="3">
        <v>17</v>
      </c>
      <c r="I21" s="3">
        <v>16</v>
      </c>
      <c r="J21" s="3"/>
    </row>
    <row r="22" spans="1:10" ht="12.75">
      <c r="A22" t="s">
        <v>8</v>
      </c>
      <c r="B22" s="3" t="s">
        <v>26</v>
      </c>
      <c r="C22" s="63">
        <f t="shared" si="0"/>
        <v>50</v>
      </c>
      <c r="D22" s="68"/>
      <c r="E22" s="3">
        <v>19</v>
      </c>
      <c r="F22" s="68">
        <v>14</v>
      </c>
      <c r="G22" s="63">
        <v>17</v>
      </c>
      <c r="H22" s="63"/>
      <c r="I22" s="63"/>
      <c r="J22" s="3"/>
    </row>
    <row r="23" spans="1:10" ht="12.75">
      <c r="A23" t="s">
        <v>8</v>
      </c>
      <c r="B23" s="3" t="s">
        <v>40</v>
      </c>
      <c r="C23" s="63">
        <f t="shared" si="0"/>
        <v>18</v>
      </c>
      <c r="D23" s="70"/>
      <c r="E23" s="3"/>
      <c r="F23" s="68">
        <v>18</v>
      </c>
      <c r="G23" s="63"/>
      <c r="H23" s="3"/>
      <c r="I23" s="3"/>
      <c r="J23" s="3"/>
    </row>
    <row r="24" spans="1:10" ht="12.75">
      <c r="A24" t="s">
        <v>109</v>
      </c>
      <c r="B24" s="3" t="s">
        <v>109</v>
      </c>
      <c r="C24" s="63">
        <f t="shared" si="0"/>
        <v>0</v>
      </c>
      <c r="D24" s="5"/>
      <c r="E24" s="3"/>
      <c r="F24" s="5"/>
      <c r="G24" s="3"/>
      <c r="H24" s="3"/>
      <c r="I24" s="3"/>
      <c r="J24" s="3"/>
    </row>
    <row r="25" spans="2:10" ht="12.75">
      <c r="B25" s="3"/>
      <c r="C25" s="63">
        <f t="shared" si="0"/>
        <v>0</v>
      </c>
      <c r="D25" s="5"/>
      <c r="E25" s="3"/>
      <c r="F25" s="5"/>
      <c r="G25" s="3"/>
      <c r="H25" s="3"/>
      <c r="I25" s="3"/>
      <c r="J25" s="3"/>
    </row>
    <row r="26" spans="2:10" ht="12.75">
      <c r="B26" s="3"/>
      <c r="C26" s="63">
        <f t="shared" si="0"/>
        <v>0</v>
      </c>
      <c r="D26" s="5"/>
      <c r="E26" s="3"/>
      <c r="F26" s="5"/>
      <c r="G26" s="3"/>
      <c r="H26" s="3"/>
      <c r="I26" s="3"/>
      <c r="J26" s="3"/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FFFFFF"/>
  </sheetPr>
  <dimension ref="B1:M17"/>
  <sheetViews>
    <sheetView workbookViewId="0" topLeftCell="A1">
      <selection activeCell="K2" sqref="K2"/>
    </sheetView>
  </sheetViews>
  <sheetFormatPr defaultColWidth="9.140625" defaultRowHeight="12.75"/>
  <cols>
    <col min="14" max="14" width="15.00390625" style="0" customWidth="1"/>
    <col min="15" max="15" width="9.140625" style="60" customWidth="1"/>
  </cols>
  <sheetData>
    <row r="1" spans="2:13" ht="12.75">
      <c r="B1" s="44" t="s">
        <v>1</v>
      </c>
      <c r="C1" s="1" t="s">
        <v>14</v>
      </c>
      <c r="D1" s="1" t="s">
        <v>50</v>
      </c>
      <c r="E1" s="72" t="s">
        <v>51</v>
      </c>
      <c r="F1" s="31" t="s">
        <v>52</v>
      </c>
      <c r="G1" s="31" t="s">
        <v>102</v>
      </c>
      <c r="H1" s="10" t="s">
        <v>110</v>
      </c>
      <c r="I1" s="10" t="s">
        <v>113</v>
      </c>
      <c r="J1" s="10" t="s">
        <v>114</v>
      </c>
      <c r="K1" s="32" t="s">
        <v>116</v>
      </c>
      <c r="L1" s="32"/>
      <c r="M1" s="32"/>
    </row>
    <row r="2" spans="2:10" ht="12.75">
      <c r="B2" s="2" t="s">
        <v>28</v>
      </c>
      <c r="C2" s="63">
        <f aca="true" t="shared" si="0" ref="C2:C17">SUM(E2:M2)</f>
        <v>124</v>
      </c>
      <c r="D2" s="3"/>
      <c r="E2" s="11">
        <v>23</v>
      </c>
      <c r="F2" s="9">
        <v>24</v>
      </c>
      <c r="G2" s="3">
        <v>19</v>
      </c>
      <c r="H2" s="3">
        <v>18</v>
      </c>
      <c r="I2" s="3">
        <v>16</v>
      </c>
      <c r="J2" s="3">
        <v>24</v>
      </c>
    </row>
    <row r="3" spans="2:13" ht="12.75">
      <c r="B3" s="3" t="s">
        <v>10</v>
      </c>
      <c r="C3" s="63">
        <f t="shared" si="0"/>
        <v>115</v>
      </c>
      <c r="D3" s="63"/>
      <c r="E3" s="6">
        <v>18</v>
      </c>
      <c r="F3" s="64">
        <v>13</v>
      </c>
      <c r="G3" s="63">
        <v>19</v>
      </c>
      <c r="H3" s="3">
        <v>23</v>
      </c>
      <c r="I3" s="63">
        <v>23</v>
      </c>
      <c r="J3" s="63">
        <v>19</v>
      </c>
      <c r="K3" s="69"/>
      <c r="L3" s="69"/>
      <c r="M3" s="69"/>
    </row>
    <row r="4" spans="2:10" ht="12.75">
      <c r="B4" s="3" t="s">
        <v>25</v>
      </c>
      <c r="C4" s="63">
        <f t="shared" si="0"/>
        <v>103</v>
      </c>
      <c r="D4" s="3"/>
      <c r="E4" s="6">
        <v>14</v>
      </c>
      <c r="F4" s="9">
        <v>19</v>
      </c>
      <c r="G4" s="3">
        <v>23</v>
      </c>
      <c r="H4" s="63">
        <v>16</v>
      </c>
      <c r="I4" s="3">
        <v>19</v>
      </c>
      <c r="J4" s="3">
        <v>12</v>
      </c>
    </row>
    <row r="5" spans="2:13" ht="12.75">
      <c r="B5" s="3" t="s">
        <v>23</v>
      </c>
      <c r="C5" s="63">
        <f t="shared" si="0"/>
        <v>79</v>
      </c>
      <c r="D5" s="63"/>
      <c r="E5" s="6">
        <v>12</v>
      </c>
      <c r="F5" s="64">
        <v>15</v>
      </c>
      <c r="G5" s="63">
        <v>12</v>
      </c>
      <c r="H5" s="63">
        <v>14</v>
      </c>
      <c r="I5" s="63">
        <v>13</v>
      </c>
      <c r="J5" s="63">
        <v>13</v>
      </c>
      <c r="K5" s="69"/>
      <c r="L5" s="69"/>
      <c r="M5" s="69"/>
    </row>
    <row r="6" spans="2:13" ht="12.75">
      <c r="B6" s="3" t="s">
        <v>9</v>
      </c>
      <c r="C6" s="63">
        <f t="shared" si="0"/>
        <v>73</v>
      </c>
      <c r="D6" s="63"/>
      <c r="E6" s="6">
        <v>18</v>
      </c>
      <c r="F6" s="64"/>
      <c r="G6" s="63">
        <v>14</v>
      </c>
      <c r="H6" s="63">
        <v>13</v>
      </c>
      <c r="I6" s="63">
        <v>13</v>
      </c>
      <c r="J6" s="63">
        <v>15</v>
      </c>
      <c r="K6" s="69"/>
      <c r="L6" s="69"/>
      <c r="M6" s="69"/>
    </row>
    <row r="7" spans="2:13" ht="12.75">
      <c r="B7" s="3" t="s">
        <v>27</v>
      </c>
      <c r="C7" s="63">
        <f t="shared" si="0"/>
        <v>55</v>
      </c>
      <c r="D7" s="63"/>
      <c r="E7" s="6"/>
      <c r="F7" s="64">
        <v>13</v>
      </c>
      <c r="G7" s="63">
        <v>13</v>
      </c>
      <c r="H7" s="63"/>
      <c r="I7" s="63">
        <v>15</v>
      </c>
      <c r="J7" s="63">
        <v>14</v>
      </c>
      <c r="K7" s="69"/>
      <c r="L7" s="69"/>
      <c r="M7" s="69"/>
    </row>
    <row r="8" spans="2:13" ht="12.75">
      <c r="B8" s="3" t="s">
        <v>26</v>
      </c>
      <c r="C8" s="63">
        <f t="shared" si="0"/>
        <v>41</v>
      </c>
      <c r="D8" s="63"/>
      <c r="E8" s="6">
        <v>15</v>
      </c>
      <c r="F8" s="64">
        <v>15</v>
      </c>
      <c r="G8" s="63">
        <v>11</v>
      </c>
      <c r="H8" s="63"/>
      <c r="I8" s="63"/>
      <c r="J8" s="63"/>
      <c r="K8" s="69"/>
      <c r="L8" s="69"/>
      <c r="M8" s="69"/>
    </row>
    <row r="9" spans="2:13" ht="12.75">
      <c r="B9" s="3" t="s">
        <v>112</v>
      </c>
      <c r="C9" s="63">
        <f t="shared" si="0"/>
        <v>13</v>
      </c>
      <c r="D9" s="63"/>
      <c r="E9" s="6"/>
      <c r="F9" s="64"/>
      <c r="G9" s="63"/>
      <c r="H9" s="63"/>
      <c r="I9" s="63">
        <v>13</v>
      </c>
      <c r="J9" s="63"/>
      <c r="K9" s="69"/>
      <c r="L9" s="69"/>
      <c r="M9" s="69"/>
    </row>
    <row r="10" spans="2:13" ht="12.75">
      <c r="B10" s="3" t="s">
        <v>42</v>
      </c>
      <c r="C10" s="63">
        <f t="shared" si="0"/>
        <v>11</v>
      </c>
      <c r="D10" s="63"/>
      <c r="E10" s="6">
        <v>11</v>
      </c>
      <c r="F10" s="64"/>
      <c r="G10" s="63"/>
      <c r="H10" s="63"/>
      <c r="I10" s="63"/>
      <c r="J10" s="63"/>
      <c r="K10" s="69"/>
      <c r="L10" s="69"/>
      <c r="M10" s="69"/>
    </row>
    <row r="11" spans="2:13" ht="12.75">
      <c r="B11" s="3" t="s">
        <v>24</v>
      </c>
      <c r="C11" s="63">
        <f t="shared" si="0"/>
        <v>11</v>
      </c>
      <c r="D11" s="63"/>
      <c r="E11" s="6"/>
      <c r="F11" s="64">
        <v>11</v>
      </c>
      <c r="G11" s="63"/>
      <c r="H11" s="63"/>
      <c r="I11" s="63"/>
      <c r="J11" s="63"/>
      <c r="K11" s="69"/>
      <c r="L11" s="69"/>
      <c r="M11" s="69"/>
    </row>
    <row r="12" spans="2:13" ht="12.75">
      <c r="B12" s="3"/>
      <c r="C12" s="63">
        <f t="shared" si="0"/>
        <v>0</v>
      </c>
      <c r="D12" s="63"/>
      <c r="E12" s="6"/>
      <c r="F12" s="64"/>
      <c r="G12" s="63"/>
      <c r="H12" s="63"/>
      <c r="I12" s="63"/>
      <c r="J12" s="63"/>
      <c r="K12" s="69"/>
      <c r="L12" s="69"/>
      <c r="M12" s="69"/>
    </row>
    <row r="13" spans="2:13" ht="12.75">
      <c r="B13" s="3"/>
      <c r="C13" s="63">
        <f t="shared" si="0"/>
        <v>0</v>
      </c>
      <c r="D13" s="63"/>
      <c r="E13" s="6"/>
      <c r="F13" s="64"/>
      <c r="G13" s="63"/>
      <c r="H13" s="63"/>
      <c r="I13" s="63"/>
      <c r="J13" s="63"/>
      <c r="K13" s="69"/>
      <c r="L13" s="69"/>
      <c r="M13" s="69"/>
    </row>
    <row r="14" spans="2:13" ht="12.75">
      <c r="B14" s="3"/>
      <c r="C14" s="63">
        <f t="shared" si="0"/>
        <v>0</v>
      </c>
      <c r="D14" s="74"/>
      <c r="E14" s="74"/>
      <c r="F14" s="64"/>
      <c r="G14" s="74"/>
      <c r="H14" s="63"/>
      <c r="I14" s="63"/>
      <c r="J14" s="63"/>
      <c r="K14" s="69"/>
      <c r="L14" s="69"/>
      <c r="M14" s="69"/>
    </row>
    <row r="15" spans="2:13" ht="12.75">
      <c r="B15" s="3"/>
      <c r="C15" s="63">
        <f t="shared" si="0"/>
        <v>0</v>
      </c>
      <c r="D15" s="63"/>
      <c r="E15" s="63"/>
      <c r="F15" s="64"/>
      <c r="G15" s="63"/>
      <c r="H15" s="63"/>
      <c r="I15" s="63"/>
      <c r="J15" s="63"/>
      <c r="K15" s="69"/>
      <c r="L15" s="69"/>
      <c r="M15" s="69"/>
    </row>
    <row r="16" spans="2:13" ht="12.75">
      <c r="B16" s="3"/>
      <c r="C16" s="63">
        <f t="shared" si="0"/>
        <v>0</v>
      </c>
      <c r="D16" s="63"/>
      <c r="E16" s="63"/>
      <c r="F16" s="64"/>
      <c r="G16" s="63"/>
      <c r="H16" s="63"/>
      <c r="I16" s="63"/>
      <c r="J16" s="63"/>
      <c r="K16" s="69"/>
      <c r="L16" s="69"/>
      <c r="M16" s="69"/>
    </row>
    <row r="17" spans="2:13" ht="12.75">
      <c r="B17" s="3"/>
      <c r="C17" s="63">
        <f t="shared" si="0"/>
        <v>0</v>
      </c>
      <c r="D17" s="63"/>
      <c r="E17" s="63"/>
      <c r="F17" s="64"/>
      <c r="G17" s="63"/>
      <c r="H17" s="63"/>
      <c r="I17" s="63"/>
      <c r="J17" s="63"/>
      <c r="K17" s="69"/>
      <c r="L17" s="69"/>
      <c r="M17" s="69"/>
    </row>
  </sheetData>
  <sheetProtection selectLockedCells="1"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C1:F20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7.00390625" style="0" customWidth="1"/>
    <col min="3" max="3" width="6.57421875" style="0" bestFit="1" customWidth="1"/>
    <col min="4" max="4" width="6.00390625" style="0" bestFit="1" customWidth="1"/>
    <col min="5" max="5" width="2.00390625" style="0" bestFit="1" customWidth="1"/>
    <col min="6" max="6" width="6.00390625" style="0" bestFit="1" customWidth="1"/>
  </cols>
  <sheetData>
    <row r="1" spans="3:6" ht="12.75">
      <c r="C1" t="s">
        <v>103</v>
      </c>
      <c r="D1">
        <v>3.776</v>
      </c>
      <c r="E1">
        <v>1</v>
      </c>
      <c r="F1">
        <v>1.786</v>
      </c>
    </row>
    <row r="2" spans="3:6" ht="12.75">
      <c r="C2" t="s">
        <v>103</v>
      </c>
      <c r="D2">
        <v>2.028</v>
      </c>
      <c r="E2">
        <v>1</v>
      </c>
      <c r="F2">
        <v>1.775</v>
      </c>
    </row>
    <row r="3" spans="3:6" ht="12.75">
      <c r="C3" t="s">
        <v>103</v>
      </c>
      <c r="D3">
        <v>1.69</v>
      </c>
      <c r="E3">
        <v>1</v>
      </c>
      <c r="F3">
        <v>1.567</v>
      </c>
    </row>
    <row r="4" spans="3:6" ht="12.75">
      <c r="C4" t="s">
        <v>103</v>
      </c>
      <c r="D4">
        <v>1.65</v>
      </c>
      <c r="E4">
        <v>1</v>
      </c>
      <c r="F4">
        <v>1.546</v>
      </c>
    </row>
    <row r="5" spans="3:6" ht="12.75">
      <c r="C5" t="s">
        <v>103</v>
      </c>
      <c r="D5">
        <v>6.59</v>
      </c>
      <c r="E5">
        <v>1</v>
      </c>
      <c r="F5">
        <v>1.693</v>
      </c>
    </row>
    <row r="6" spans="3:6" ht="12.75">
      <c r="C6" t="s">
        <v>104</v>
      </c>
      <c r="D6">
        <v>3.773</v>
      </c>
      <c r="E6">
        <v>3</v>
      </c>
      <c r="F6">
        <v>1.813</v>
      </c>
    </row>
    <row r="7" spans="3:6" ht="12.75">
      <c r="C7" t="s">
        <v>104</v>
      </c>
      <c r="D7">
        <v>1.955</v>
      </c>
      <c r="E7">
        <v>3</v>
      </c>
      <c r="F7">
        <v>1.78</v>
      </c>
    </row>
    <row r="8" spans="3:6" ht="12.75">
      <c r="C8" t="s">
        <v>104</v>
      </c>
      <c r="D8">
        <v>1.68</v>
      </c>
      <c r="E8">
        <v>3</v>
      </c>
      <c r="F8">
        <v>1.54</v>
      </c>
    </row>
    <row r="9" spans="3:6" ht="12.75">
      <c r="C9" t="s">
        <v>104</v>
      </c>
      <c r="D9">
        <v>1.816</v>
      </c>
      <c r="E9">
        <v>3</v>
      </c>
      <c r="F9">
        <v>1.541</v>
      </c>
    </row>
    <row r="10" spans="3:6" ht="12.75">
      <c r="C10" t="s">
        <v>104</v>
      </c>
      <c r="D10">
        <v>5.464</v>
      </c>
      <c r="E10">
        <v>4</v>
      </c>
      <c r="F10">
        <v>1.768</v>
      </c>
    </row>
    <row r="11" spans="3:6" ht="12.75">
      <c r="C11" t="s">
        <v>105</v>
      </c>
      <c r="D11">
        <v>3.773</v>
      </c>
      <c r="E11">
        <v>4</v>
      </c>
      <c r="F11">
        <v>1.77</v>
      </c>
    </row>
    <row r="12" spans="3:6" ht="12.75">
      <c r="C12" t="s">
        <v>105</v>
      </c>
      <c r="D12">
        <v>1.986</v>
      </c>
      <c r="E12">
        <v>4</v>
      </c>
      <c r="F12">
        <v>1.562</v>
      </c>
    </row>
    <row r="13" spans="3:6" ht="12.75">
      <c r="C13" t="s">
        <v>105</v>
      </c>
      <c r="D13">
        <v>1.681</v>
      </c>
      <c r="E13">
        <v>4</v>
      </c>
      <c r="F13">
        <v>1.551</v>
      </c>
    </row>
    <row r="14" spans="3:6" ht="12.75">
      <c r="C14" t="s">
        <v>105</v>
      </c>
      <c r="D14">
        <v>1.807</v>
      </c>
      <c r="E14">
        <v>2</v>
      </c>
      <c r="F14">
        <v>1.769</v>
      </c>
    </row>
    <row r="15" spans="3:6" ht="12.75">
      <c r="C15" t="s">
        <v>105</v>
      </c>
      <c r="D15">
        <v>4.5</v>
      </c>
      <c r="E15">
        <v>2</v>
      </c>
      <c r="F15">
        <v>1.797</v>
      </c>
    </row>
    <row r="16" spans="3:6" ht="12.75">
      <c r="C16" t="s">
        <v>106</v>
      </c>
      <c r="D16">
        <v>2.737</v>
      </c>
      <c r="E16">
        <v>2</v>
      </c>
      <c r="F16">
        <v>1.565</v>
      </c>
    </row>
    <row r="17" spans="3:6" ht="12.75">
      <c r="C17" t="s">
        <v>106</v>
      </c>
      <c r="D17">
        <v>1.039</v>
      </c>
      <c r="E17">
        <v>2</v>
      </c>
      <c r="F17">
        <v>1.498</v>
      </c>
    </row>
    <row r="18" spans="3:4" ht="12.75">
      <c r="C18" t="s">
        <v>106</v>
      </c>
      <c r="D18">
        <v>2.028</v>
      </c>
    </row>
    <row r="19" spans="3:4" ht="12.75">
      <c r="C19" t="s">
        <v>106</v>
      </c>
      <c r="D19">
        <v>3.309</v>
      </c>
    </row>
    <row r="20" spans="3:4" ht="12.75">
      <c r="C20" t="s">
        <v>106</v>
      </c>
      <c r="D20">
        <v>7.61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42"/>
  <sheetViews>
    <sheetView zoomScalePageLayoutView="0" workbookViewId="0" topLeftCell="A5">
      <selection activeCell="L20" sqref="L20"/>
    </sheetView>
  </sheetViews>
  <sheetFormatPr defaultColWidth="9.140625" defaultRowHeight="12.75"/>
  <cols>
    <col min="2" max="2" width="10.28125" style="0" customWidth="1"/>
    <col min="11" max="11" width="10.8515625" style="0" customWidth="1"/>
  </cols>
  <sheetData>
    <row r="1" spans="1:20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2.75">
      <c r="A2" s="80"/>
      <c r="B2" s="80" t="s">
        <v>56</v>
      </c>
      <c r="C2" s="169">
        <v>7</v>
      </c>
      <c r="D2" s="170"/>
      <c r="E2" s="171"/>
      <c r="F2" s="80"/>
      <c r="G2" s="80"/>
      <c r="H2" s="80" t="s">
        <v>101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2.75">
      <c r="A3" s="80"/>
      <c r="B3" s="80" t="s">
        <v>57</v>
      </c>
      <c r="C3" s="172" t="s">
        <v>38</v>
      </c>
      <c r="D3" s="173"/>
      <c r="E3" s="174"/>
      <c r="F3" s="80"/>
      <c r="G3" s="80"/>
      <c r="H3" s="12" t="s">
        <v>89</v>
      </c>
      <c r="I3" s="156" t="s">
        <v>90</v>
      </c>
      <c r="J3" s="157" t="s">
        <v>91</v>
      </c>
      <c r="K3" s="158" t="s">
        <v>92</v>
      </c>
      <c r="L3" s="80"/>
      <c r="M3" s="80"/>
      <c r="N3" s="80"/>
      <c r="O3" s="80"/>
      <c r="P3" s="80"/>
      <c r="Q3" s="80"/>
      <c r="R3" s="80"/>
      <c r="S3" s="80"/>
      <c r="T3" s="80"/>
    </row>
    <row r="4" spans="1:20" ht="12.75">
      <c r="A4" s="80"/>
      <c r="B4" s="80" t="s">
        <v>58</v>
      </c>
      <c r="C4" s="175">
        <v>39669</v>
      </c>
      <c r="D4" s="176"/>
      <c r="E4" s="177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t="12.75">
      <c r="A6" s="80"/>
      <c r="B6" s="166" t="s">
        <v>22</v>
      </c>
      <c r="C6" s="168"/>
      <c r="D6" s="168"/>
      <c r="E6" s="167"/>
      <c r="F6" s="80"/>
      <c r="G6" s="166" t="s">
        <v>62</v>
      </c>
      <c r="H6" s="167"/>
      <c r="I6" s="80"/>
      <c r="J6" s="166" t="s">
        <v>63</v>
      </c>
      <c r="K6" s="168"/>
      <c r="L6" s="168"/>
      <c r="M6" s="167"/>
      <c r="N6" s="80"/>
      <c r="O6" s="166" t="s">
        <v>64</v>
      </c>
      <c r="P6" s="168"/>
      <c r="Q6" s="167"/>
      <c r="R6" s="80"/>
      <c r="S6" s="110" t="s">
        <v>65</v>
      </c>
      <c r="T6" s="80"/>
    </row>
    <row r="7" spans="1:20" ht="12.75">
      <c r="A7" s="80"/>
      <c r="B7" s="81"/>
      <c r="C7" s="82"/>
      <c r="D7" s="82"/>
      <c r="E7" s="83"/>
      <c r="F7" s="80"/>
      <c r="G7" s="81" t="s">
        <v>61</v>
      </c>
      <c r="H7" s="83"/>
      <c r="I7" s="80"/>
      <c r="J7" s="81"/>
      <c r="K7" s="82"/>
      <c r="L7" s="82"/>
      <c r="M7" s="83"/>
      <c r="N7" s="80"/>
      <c r="O7" s="81"/>
      <c r="P7" s="82"/>
      <c r="Q7" s="83"/>
      <c r="R7" s="80"/>
      <c r="S7" s="84" t="s">
        <v>61</v>
      </c>
      <c r="T7" s="80"/>
    </row>
    <row r="8" spans="1:20" ht="12.75">
      <c r="A8" s="80"/>
      <c r="B8" s="85" t="s">
        <v>61</v>
      </c>
      <c r="C8" s="86">
        <f>COUNTA(B11:B40)</f>
        <v>18</v>
      </c>
      <c r="D8" s="86"/>
      <c r="E8" s="87"/>
      <c r="F8" s="80"/>
      <c r="G8" s="85">
        <f>COUNTA(G11:G40)</f>
        <v>15</v>
      </c>
      <c r="H8" s="87"/>
      <c r="I8" s="80"/>
      <c r="J8" s="85" t="s">
        <v>61</v>
      </c>
      <c r="K8" s="86">
        <f>COUNTA(J11:J40)</f>
        <v>9</v>
      </c>
      <c r="L8" s="86"/>
      <c r="M8" s="87"/>
      <c r="N8" s="80"/>
      <c r="O8" s="85" t="s">
        <v>61</v>
      </c>
      <c r="P8" s="86">
        <f>COUNTA(O11:O40)</f>
        <v>0</v>
      </c>
      <c r="Q8" s="87"/>
      <c r="R8" s="80"/>
      <c r="S8" s="88">
        <f>COUNTA(S11:S40)</f>
        <v>0</v>
      </c>
      <c r="T8" s="80"/>
    </row>
    <row r="9" spans="1:20" ht="12.75">
      <c r="A9" s="80"/>
      <c r="B9" s="89"/>
      <c r="C9" s="90"/>
      <c r="D9" s="90"/>
      <c r="E9" s="91"/>
      <c r="F9" s="80"/>
      <c r="G9" s="89"/>
      <c r="H9" s="91"/>
      <c r="I9" s="80"/>
      <c r="J9" s="89"/>
      <c r="K9" s="90"/>
      <c r="L9" s="90"/>
      <c r="M9" s="91"/>
      <c r="N9" s="80"/>
      <c r="O9" s="89"/>
      <c r="P9" s="90"/>
      <c r="Q9" s="91"/>
      <c r="R9" s="80"/>
      <c r="S9" s="92"/>
      <c r="T9" s="80"/>
    </row>
    <row r="10" spans="1:20" ht="12.75">
      <c r="A10" s="80"/>
      <c r="B10" s="104" t="s">
        <v>1</v>
      </c>
      <c r="C10" s="105" t="s">
        <v>3</v>
      </c>
      <c r="D10" s="106" t="s">
        <v>60</v>
      </c>
      <c r="E10" s="105" t="s">
        <v>21</v>
      </c>
      <c r="F10" s="86"/>
      <c r="G10" s="105" t="s">
        <v>1</v>
      </c>
      <c r="H10" s="105" t="s">
        <v>15</v>
      </c>
      <c r="I10" s="80"/>
      <c r="J10" s="104" t="s">
        <v>1</v>
      </c>
      <c r="K10" s="104" t="s">
        <v>3</v>
      </c>
      <c r="L10" s="105" t="s">
        <v>45</v>
      </c>
      <c r="M10" s="107" t="s">
        <v>21</v>
      </c>
      <c r="N10" s="80"/>
      <c r="O10" s="104" t="s">
        <v>1</v>
      </c>
      <c r="P10" s="105" t="s">
        <v>45</v>
      </c>
      <c r="Q10" s="107" t="s">
        <v>21</v>
      </c>
      <c r="R10" s="86"/>
      <c r="S10" s="105" t="s">
        <v>1</v>
      </c>
      <c r="T10" s="80"/>
    </row>
    <row r="11" spans="1:20" ht="12.75">
      <c r="A11" s="80"/>
      <c r="B11" s="98" t="s">
        <v>38</v>
      </c>
      <c r="C11" s="84" t="str">
        <f>IF(B11&lt;&gt;"",INDEX('Classic Points'!$A$2:$A$50,MATCH(B11,'Classic Points'!$B$2:$B$50,0)),"")</f>
        <v>Crashers</v>
      </c>
      <c r="D11" s="93">
        <f>IF(B11&lt;&gt;"",IF(ISNA(C11),0,INDEX('Classic Laps'!$C$2:$C$49,MATCH(B11,'Classic Laps'!$B$2:$B$49,0))),"")</f>
        <v>94.97878359264499</v>
      </c>
      <c r="E11" s="84">
        <f>IF(B11&lt;&gt;"",RANK(D11,D$11:D$40),"")</f>
        <v>12</v>
      </c>
      <c r="F11" s="86"/>
      <c r="G11" s="98" t="s">
        <v>23</v>
      </c>
      <c r="H11" s="94">
        <f>IF(G11&lt;&gt;"",IF(ISNA(MATCH(G11,'Stock Handicaps'!$B$2:$B$50,0)),IF(ISNA(MATCH(G11,'Stock Points'!$B$2:$B$50,0)),MATCH(G11,'Stock Points'!$B$2:$B$50,0),""),INDEX('Stock Handicaps'!$C$2:$C$50,MATCH(G11,'Stock Handicaps'!$B$2:$B$50,0))),"")</f>
        <v>6</v>
      </c>
      <c r="I11" s="80"/>
      <c r="J11" s="98" t="s">
        <v>23</v>
      </c>
      <c r="K11" s="84" t="str">
        <f>IF(J11&lt;&gt;"",INDEX('Modified Points'!$A$2:$A$50,MATCH(J11,'Modified Points'!$B$2:$B$50,0)),"")</f>
        <v>Speed</v>
      </c>
      <c r="L11" s="98">
        <v>2</v>
      </c>
      <c r="M11" s="84">
        <f aca="true" t="shared" si="0" ref="M11:M31">IF(L11&gt;0,RANK(L11,L$11:L$33,1),"")</f>
        <v>4</v>
      </c>
      <c r="N11" s="80"/>
      <c r="O11" s="101"/>
      <c r="P11" s="98"/>
      <c r="Q11" s="83">
        <f aca="true" t="shared" si="1" ref="Q11:Q17">IF(P11&gt;0,RANK(P11,P$11:P$33,1),"")</f>
      </c>
      <c r="R11" s="86"/>
      <c r="S11" s="98"/>
      <c r="T11" s="80"/>
    </row>
    <row r="12" spans="1:20" ht="12.75">
      <c r="A12" s="80"/>
      <c r="B12" s="99" t="s">
        <v>39</v>
      </c>
      <c r="C12" s="88" t="str">
        <f>IF(B12&lt;&gt;"",INDEX('Classic Points'!$A$2:$A$50,MATCH(B12,'Classic Points'!$B$2:$B$50,0)),"")</f>
        <v>Crashers</v>
      </c>
      <c r="D12" s="95">
        <f>IF(B12&lt;&gt;"",IF(ISNA(C12),0,INDEX('Classic Laps'!$C$2:$C$49,MATCH(B12,'Classic Laps'!$B$2:$B$49,0))),"")</f>
        <v>100.990099009901</v>
      </c>
      <c r="E12" s="88">
        <f aca="true" t="shared" si="2" ref="E12:E40">IF(B12&lt;&gt;"",RANK(D12,D$11:D$40),"")</f>
        <v>11</v>
      </c>
      <c r="F12" s="86"/>
      <c r="G12" s="99" t="s">
        <v>9</v>
      </c>
      <c r="H12" s="96">
        <f>IF(G12&lt;&gt;"",IF(ISNA(MATCH(G12,'Stock Handicaps'!$B$2:$B$50,0)),IF(ISNA(MATCH(G12,'Stock Points'!$B$2:$B$50,0)),MATCH(G12,'Stock Points'!$B$2:$B$50,0),""),INDEX('Stock Handicaps'!$C$2:$C$50,MATCH(G12,'Stock Handicaps'!$B$2:$B$50,0))),"")</f>
        <v>11</v>
      </c>
      <c r="I12" s="80"/>
      <c r="J12" s="99" t="s">
        <v>107</v>
      </c>
      <c r="K12" s="88" t="str">
        <f>IF(J12&lt;&gt;"",INDEX('Modified Points'!$A$2:$A$50,MATCH(J12,'Modified Points'!$B$2:$B$50,0)),"")</f>
        <v>Consistency</v>
      </c>
      <c r="L12" s="99">
        <v>1</v>
      </c>
      <c r="M12" s="88">
        <f t="shared" si="0"/>
        <v>1</v>
      </c>
      <c r="N12" s="80"/>
      <c r="O12" s="102"/>
      <c r="P12" s="99"/>
      <c r="Q12" s="87">
        <f t="shared" si="1"/>
      </c>
      <c r="R12" s="86"/>
      <c r="S12" s="99"/>
      <c r="T12" s="80"/>
    </row>
    <row r="13" spans="1:20" ht="12.75">
      <c r="A13" s="80"/>
      <c r="B13" s="99" t="s">
        <v>28</v>
      </c>
      <c r="C13" s="88" t="str">
        <f>IF(B13&lt;&gt;"",INDEX('Classic Points'!$A$2:$A$50,MATCH(B13,'Classic Points'!$B$2:$B$50,0)),"")</f>
        <v>Sliders</v>
      </c>
      <c r="D13" s="95">
        <f>IF(B13&lt;&gt;"",IF(ISNA(C13),0,INDEX('Classic Laps'!$C$2:$C$49,MATCH(B13,'Classic Laps'!$B$2:$B$49,0))),"")</f>
        <v>102.1923620933522</v>
      </c>
      <c r="E13" s="88">
        <f t="shared" si="2"/>
        <v>8</v>
      </c>
      <c r="F13" s="86"/>
      <c r="G13" s="99" t="s">
        <v>27</v>
      </c>
      <c r="H13" s="96">
        <f>IF(G13&lt;&gt;"",IF(ISNA(MATCH(G13,'Stock Handicaps'!$B$2:$B$50,0)),IF(ISNA(MATCH(G13,'Stock Points'!$B$2:$B$50,0)),MATCH(G13,'Stock Points'!$B$2:$B$50,0),""),INDEX('Stock Handicaps'!$C$2:$C$50,MATCH(G13,'Stock Handicaps'!$B$2:$B$50,0))),"")</f>
        <v>8</v>
      </c>
      <c r="I13" s="80"/>
      <c r="J13" s="99" t="s">
        <v>24</v>
      </c>
      <c r="K13" s="88" t="str">
        <f>IF(J13&lt;&gt;"",INDEX('Modified Points'!$A$2:$A$50,MATCH(J13,'Modified Points'!$B$2:$B$50,0)),"")</f>
        <v>Consistency</v>
      </c>
      <c r="L13" s="99">
        <v>3</v>
      </c>
      <c r="M13" s="88">
        <f t="shared" si="0"/>
        <v>7</v>
      </c>
      <c r="N13" s="80"/>
      <c r="O13" s="102"/>
      <c r="P13" s="99"/>
      <c r="Q13" s="87">
        <f t="shared" si="1"/>
      </c>
      <c r="R13" s="86"/>
      <c r="S13" s="99"/>
      <c r="T13" s="80"/>
    </row>
    <row r="14" spans="1:20" ht="12.75">
      <c r="A14" s="80"/>
      <c r="B14" s="99" t="s">
        <v>24</v>
      </c>
      <c r="C14" s="88" t="str">
        <f>IF(B14&lt;&gt;"",INDEX('Classic Points'!$A$2:$A$50,MATCH(B14,'Classic Points'!$B$2:$B$50,0)),"")</f>
        <v>Crashers</v>
      </c>
      <c r="D14" s="95">
        <f>IF(B14&lt;&gt;"",IF(ISNA(C14),0,INDEX('Classic Laps'!$C$2:$C$49,MATCH(B14,'Classic Laps'!$B$2:$B$49,0))),"")</f>
        <v>103.3946251768034</v>
      </c>
      <c r="E14" s="88">
        <f t="shared" si="2"/>
        <v>6</v>
      </c>
      <c r="F14" s="86"/>
      <c r="G14" s="99" t="s">
        <v>44</v>
      </c>
      <c r="H14" s="96">
        <f>IF(G14&lt;&gt;"",IF(ISNA(MATCH(G14,'Stock Handicaps'!$B$2:$B$50,0)),IF(ISNA(MATCH(G14,'Stock Points'!$B$2:$B$50,0)),MATCH(G14,'Stock Points'!$B$2:$B$50,0),""),INDEX('Stock Handicaps'!$C$2:$C$50,MATCH(G14,'Stock Handicaps'!$B$2:$B$50,0))),"")</f>
        <v>17</v>
      </c>
      <c r="I14" s="80"/>
      <c r="J14" s="99" t="s">
        <v>27</v>
      </c>
      <c r="K14" s="88" t="str">
        <f>IF(J14&lt;&gt;"",INDEX('Modified Points'!$A$2:$A$50,MATCH(J14,'Modified Points'!$B$2:$B$50,0)),"")</f>
        <v>Consistency</v>
      </c>
      <c r="L14" s="99">
        <v>2</v>
      </c>
      <c r="M14" s="88">
        <f t="shared" si="0"/>
        <v>4</v>
      </c>
      <c r="N14" s="80"/>
      <c r="O14" s="102"/>
      <c r="P14" s="99"/>
      <c r="Q14" s="87">
        <f t="shared" si="1"/>
      </c>
      <c r="R14" s="86"/>
      <c r="S14" s="99"/>
      <c r="T14" s="80"/>
    </row>
    <row r="15" spans="1:20" ht="12.75">
      <c r="A15" s="80"/>
      <c r="B15" s="99" t="s">
        <v>23</v>
      </c>
      <c r="C15" s="88" t="str">
        <f>IF(B15&lt;&gt;"",INDEX('Classic Points'!$A$2:$A$50,MATCH(B15,'Classic Points'!$B$2:$B$50,0)),"")</f>
        <v>Sliders</v>
      </c>
      <c r="D15" s="95">
        <f>IF(B15&lt;&gt;"",IF(ISNA(C15),0,INDEX('Classic Laps'!$C$2:$C$49,MATCH(B15,'Classic Laps'!$B$2:$B$49,0))),"")</f>
        <v>115.41725601131542</v>
      </c>
      <c r="E15" s="88">
        <f t="shared" si="2"/>
        <v>2</v>
      </c>
      <c r="F15" s="86"/>
      <c r="G15" s="99" t="s">
        <v>28</v>
      </c>
      <c r="H15" s="96">
        <f>IF(G15&lt;&gt;"",IF(ISNA(MATCH(G15,'Stock Handicaps'!$B$2:$B$50,0)),IF(ISNA(MATCH(G15,'Stock Points'!$B$2:$B$50,0)),MATCH(G15,'Stock Points'!$B$2:$B$50,0),""),INDEX('Stock Handicaps'!$C$2:$C$50,MATCH(G15,'Stock Handicaps'!$B$2:$B$50,0))),"")</f>
        <v>8</v>
      </c>
      <c r="I15" s="80"/>
      <c r="J15" s="99" t="s">
        <v>29</v>
      </c>
      <c r="K15" s="88" t="str">
        <f>IF(J15&lt;&gt;"",INDEX('Modified Points'!$A$2:$A$50,MATCH(J15,'Modified Points'!$B$2:$B$50,0)),"")</f>
        <v>Consistency</v>
      </c>
      <c r="L15" s="99">
        <v>3</v>
      </c>
      <c r="M15" s="88">
        <f t="shared" si="0"/>
        <v>7</v>
      </c>
      <c r="N15" s="80"/>
      <c r="O15" s="102"/>
      <c r="P15" s="99"/>
      <c r="Q15" s="87">
        <f t="shared" si="1"/>
      </c>
      <c r="R15" s="86"/>
      <c r="S15" s="99"/>
      <c r="T15" s="80"/>
    </row>
    <row r="16" spans="1:20" ht="12.75">
      <c r="A16" s="80"/>
      <c r="B16" s="99" t="s">
        <v>30</v>
      </c>
      <c r="C16" s="88" t="str">
        <f>IF(B16&lt;&gt;"",INDEX('Classic Points'!$A$2:$A$50,MATCH(B16,'Classic Points'!$B$2:$B$50,0)),"")</f>
        <v>Crashers</v>
      </c>
      <c r="D16" s="95">
        <f>IF(B16&lt;&gt;"",IF(ISNA(C16),0,INDEX('Classic Laps'!$C$2:$C$49,MATCH(B16,'Classic Laps'!$B$2:$B$49,0))),"")</f>
        <v>75.74257425742574</v>
      </c>
      <c r="E16" s="88">
        <f t="shared" si="2"/>
        <v>18</v>
      </c>
      <c r="F16" s="86"/>
      <c r="G16" s="99" t="s">
        <v>111</v>
      </c>
      <c r="H16" s="96">
        <f>IF(G16&lt;&gt;"",IF(ISNA(MATCH(G16,'Stock Handicaps'!$B$2:$B$50,0)),IF(ISNA(MATCH(G16,'Stock Points'!$B$2:$B$50,0)),MATCH(G16,'Stock Points'!$B$2:$B$50,0),""),INDEX('Stock Handicaps'!$C$2:$C$50,MATCH(G16,'Stock Handicaps'!$B$2:$B$50,0))),"")</f>
        <v>1</v>
      </c>
      <c r="I16" s="80"/>
      <c r="J16" s="99" t="s">
        <v>30</v>
      </c>
      <c r="K16" s="88" t="str">
        <f>IF(J16&lt;&gt;"",INDEX('Modified Points'!$A$2:$A$50,MATCH(J16,'Modified Points'!$B$2:$B$50,0)),"")</f>
        <v>Consistency</v>
      </c>
      <c r="L16" s="99">
        <v>3</v>
      </c>
      <c r="M16" s="88">
        <f t="shared" si="0"/>
        <v>7</v>
      </c>
      <c r="N16" s="80"/>
      <c r="O16" s="102"/>
      <c r="P16" s="99"/>
      <c r="Q16" s="87">
        <f t="shared" si="1"/>
      </c>
      <c r="R16" s="86"/>
      <c r="S16" s="99"/>
      <c r="T16" s="80"/>
    </row>
    <row r="17" spans="1:20" ht="12.75">
      <c r="A17" s="80"/>
      <c r="B17" s="99" t="s">
        <v>10</v>
      </c>
      <c r="C17" s="88" t="str">
        <f>IF(B17&lt;&gt;"",INDEX('Classic Points'!$A$2:$A$50,MATCH(B17,'Classic Points'!$B$2:$B$50,0)),"")</f>
        <v>Sliders</v>
      </c>
      <c r="D17" s="95">
        <f>IF(B17&lt;&gt;"",IF(ISNA(C17),0,INDEX('Classic Laps'!$C$2:$C$49,MATCH(B17,'Classic Laps'!$B$2:$B$49,0))),"")</f>
        <v>117.82178217821783</v>
      </c>
      <c r="E17" s="88">
        <f t="shared" si="2"/>
        <v>1</v>
      </c>
      <c r="F17" s="86"/>
      <c r="G17" s="99" t="s">
        <v>10</v>
      </c>
      <c r="H17" s="96">
        <f>IF(G17&lt;&gt;"",IF(ISNA(MATCH(G17,'Stock Handicaps'!$B$2:$B$50,0)),IF(ISNA(MATCH(G17,'Stock Points'!$B$2:$B$50,0)),MATCH(G17,'Stock Points'!$B$2:$B$50,0),""),INDEX('Stock Handicaps'!$C$2:$C$50,MATCH(G17,'Stock Handicaps'!$B$2:$B$50,0))),"")</f>
        <v>15</v>
      </c>
      <c r="I17" s="80"/>
      <c r="J17" s="99" t="s">
        <v>10</v>
      </c>
      <c r="K17" s="88" t="str">
        <f>IF(J17&lt;&gt;"",INDEX('Modified Points'!$A$2:$A$50,MATCH(J17,'Modified Points'!$B$2:$B$50,0)),"")</f>
        <v>Speed</v>
      </c>
      <c r="L17" s="99">
        <v>1</v>
      </c>
      <c r="M17" s="88">
        <f t="shared" si="0"/>
        <v>1</v>
      </c>
      <c r="N17" s="80"/>
      <c r="O17" s="102"/>
      <c r="P17" s="99"/>
      <c r="Q17" s="87">
        <f t="shared" si="1"/>
      </c>
      <c r="R17" s="86"/>
      <c r="S17" s="99"/>
      <c r="T17" s="80"/>
    </row>
    <row r="18" spans="1:20" ht="12.75">
      <c r="A18" s="80"/>
      <c r="B18" s="99" t="s">
        <v>26</v>
      </c>
      <c r="C18" s="88" t="str">
        <f>IF(B18&lt;&gt;"",INDEX('Classic Points'!$A$2:$A$50,MATCH(B18,'Classic Points'!$B$2:$B$50,0)),"")</f>
        <v>Crashers</v>
      </c>
      <c r="D18" s="95">
        <f>IF(B18&lt;&gt;"",IF(ISNA(C18),0,INDEX('Classic Laps'!$C$2:$C$49,MATCH(B18,'Classic Laps'!$B$2:$B$49,0))),"")</f>
        <v>115.41725601131542</v>
      </c>
      <c r="E18" s="88">
        <f t="shared" si="2"/>
        <v>2</v>
      </c>
      <c r="F18" s="86"/>
      <c r="G18" s="99" t="s">
        <v>39</v>
      </c>
      <c r="H18" s="96">
        <f>IF(G18&lt;&gt;"",IF(ISNA(MATCH(G18,'Stock Handicaps'!$B$2:$B$50,0)),IF(ISNA(MATCH(G18,'Stock Points'!$B$2:$B$50,0)),MATCH(G18,'Stock Points'!$B$2:$B$50,0),""),INDEX('Stock Handicaps'!$C$2:$C$50,MATCH(G18,'Stock Handicaps'!$B$2:$B$50,0))),"")</f>
        <v>8</v>
      </c>
      <c r="I18" s="80"/>
      <c r="J18" s="99" t="s">
        <v>38</v>
      </c>
      <c r="K18" s="88" t="str">
        <f>IF(J18&lt;&gt;"",INDEX('Modified Points'!$A$2:$A$50,MATCH(J18,'Modified Points'!$B$2:$B$50,0)),"")</f>
        <v>Consistency</v>
      </c>
      <c r="L18" s="99">
        <v>2</v>
      </c>
      <c r="M18" s="88">
        <f t="shared" si="0"/>
        <v>4</v>
      </c>
      <c r="N18" s="80"/>
      <c r="O18" s="102"/>
      <c r="P18" s="99"/>
      <c r="Q18" s="87"/>
      <c r="R18" s="86"/>
      <c r="S18" s="99"/>
      <c r="T18" s="80"/>
    </row>
    <row r="19" spans="1:20" ht="12.75">
      <c r="A19" s="80"/>
      <c r="B19" s="99" t="s">
        <v>9</v>
      </c>
      <c r="C19" s="88" t="str">
        <f>IF(B19&lt;&gt;"",INDEX('Classic Points'!$A$2:$A$50,MATCH(B19,'Classic Points'!$B$2:$B$50,0)),"")</f>
        <v>Sliders</v>
      </c>
      <c r="D19" s="95">
        <f>IF(B19&lt;&gt;"",IF(ISNA(C19),0,INDEX('Classic Laps'!$C$2:$C$49,MATCH(B19,'Classic Laps'!$B$2:$B$49,0))),"")</f>
        <v>94.97878359264499</v>
      </c>
      <c r="E19" s="88">
        <f t="shared" si="2"/>
        <v>12</v>
      </c>
      <c r="F19" s="86"/>
      <c r="G19" s="99" t="s">
        <v>24</v>
      </c>
      <c r="H19" s="96">
        <f>IF(G19&lt;&gt;"",IF(ISNA(MATCH(G19,'Stock Handicaps'!$B$2:$B$50,0)),IF(ISNA(MATCH(G19,'Stock Points'!$B$2:$B$50,0)),MATCH(G19,'Stock Points'!$B$2:$B$50,0),""),INDEX('Stock Handicaps'!$C$2:$C$50,MATCH(G19,'Stock Handicaps'!$B$2:$B$50,0))),"")</f>
        <v>10</v>
      </c>
      <c r="I19" s="80"/>
      <c r="J19" s="99" t="s">
        <v>28</v>
      </c>
      <c r="K19" s="88" t="str">
        <f>IF(J19&lt;&gt;"",INDEX('Modified Points'!$A$2:$A$50,MATCH(J19,'Modified Points'!$B$2:$B$50,0)),"")</f>
        <v>Speed</v>
      </c>
      <c r="L19" s="99">
        <v>1</v>
      </c>
      <c r="M19" s="88">
        <f t="shared" si="0"/>
        <v>1</v>
      </c>
      <c r="N19" s="80"/>
      <c r="O19" s="102"/>
      <c r="P19" s="99"/>
      <c r="Q19" s="87"/>
      <c r="R19" s="86"/>
      <c r="S19" s="99"/>
      <c r="T19" s="80"/>
    </row>
    <row r="20" spans="1:20" ht="12.75">
      <c r="A20" s="80"/>
      <c r="B20" s="99" t="s">
        <v>24</v>
      </c>
      <c r="C20" s="88" t="str">
        <f>IF(B20&lt;&gt;"",INDEX('Classic Points'!$A$2:$A$50,MATCH(B20,'Classic Points'!$B$2:$B$50,0)),"")</f>
        <v>Crashers</v>
      </c>
      <c r="D20" s="95">
        <f>IF(B20&lt;&gt;"",IF(ISNA(C20),0,INDEX('Classic Laps'!$C$2:$C$49,MATCH(B20,'Classic Laps'!$B$2:$B$49,0))),"")</f>
        <v>103.3946251768034</v>
      </c>
      <c r="E20" s="88">
        <f t="shared" si="2"/>
        <v>6</v>
      </c>
      <c r="F20" s="86"/>
      <c r="G20" s="99" t="s">
        <v>38</v>
      </c>
      <c r="H20" s="96">
        <f>IF(G20&lt;&gt;"",IF(ISNA(MATCH(G20,'Stock Handicaps'!$B$2:$B$50,0)),IF(ISNA(MATCH(G20,'Stock Points'!$B$2:$B$50,0)),MATCH(G20,'Stock Points'!$B$2:$B$50,0),""),INDEX('Stock Handicaps'!$C$2:$C$50,MATCH(G20,'Stock Handicaps'!$B$2:$B$50,0))),"")</f>
        <v>12</v>
      </c>
      <c r="I20" s="80"/>
      <c r="J20" s="99"/>
      <c r="K20" s="88">
        <f>IF(J20&lt;&gt;"",INDEX('Modified Points'!$A$2:$A$50,MATCH(J20,'Modified Points'!$B$2:$B$50,0)),"")</f>
      </c>
      <c r="L20" s="99"/>
      <c r="M20" s="88">
        <f t="shared" si="0"/>
      </c>
      <c r="N20" s="80"/>
      <c r="O20" s="102"/>
      <c r="P20" s="99"/>
      <c r="Q20" s="87"/>
      <c r="R20" s="86"/>
      <c r="S20" s="99"/>
      <c r="T20" s="80"/>
    </row>
    <row r="21" spans="1:20" ht="12.75">
      <c r="A21" s="80"/>
      <c r="B21" s="99" t="s">
        <v>44</v>
      </c>
      <c r="C21" s="88" t="str">
        <f>IF(B21&lt;&gt;"",INDEX('Classic Points'!$A$2:$A$50,MATCH(B21,'Classic Points'!$B$2:$B$50,0)),"")</f>
        <v>Crashers</v>
      </c>
      <c r="D21" s="95">
        <f>IF(B21&lt;&gt;"",IF(ISNA(C21),0,INDEX('Classic Laps'!$C$2:$C$49,MATCH(B21,'Classic Laps'!$B$2:$B$49,0))),"")</f>
        <v>102.1923620933522</v>
      </c>
      <c r="E21" s="88">
        <f t="shared" si="2"/>
        <v>8</v>
      </c>
      <c r="F21" s="86"/>
      <c r="G21" s="99" t="s">
        <v>26</v>
      </c>
      <c r="H21" s="96">
        <f>IF(G21&lt;&gt;"",IF(ISNA(MATCH(G21,'Stock Handicaps'!$B$2:$B$50,0)),IF(ISNA(MATCH(G21,'Stock Points'!$B$2:$B$50,0)),MATCH(G21,'Stock Points'!$B$2:$B$50,0),""),INDEX('Stock Handicaps'!$C$2:$C$50,MATCH(G21,'Stock Handicaps'!$B$2:$B$50,0))),"")</f>
        <v>11</v>
      </c>
      <c r="I21" s="80"/>
      <c r="J21" s="99"/>
      <c r="K21" s="88">
        <f>IF(J21&lt;&gt;"",INDEX('Modified Points'!$A$2:$A$50,MATCH(J21,'Modified Points'!$B$2:$B$50,0)),"")</f>
      </c>
      <c r="L21" s="99"/>
      <c r="M21" s="88">
        <f t="shared" si="0"/>
      </c>
      <c r="N21" s="80"/>
      <c r="O21" s="102"/>
      <c r="P21" s="99"/>
      <c r="Q21" s="87"/>
      <c r="R21" s="86"/>
      <c r="S21" s="99"/>
      <c r="T21" s="80"/>
    </row>
    <row r="22" spans="1:20" ht="12.75">
      <c r="A22" s="80"/>
      <c r="B22" s="99" t="s">
        <v>27</v>
      </c>
      <c r="C22" s="88" t="str">
        <f>IF(B22&lt;&gt;"",INDEX('Classic Points'!$A$2:$A$50,MATCH(B22,'Classic Points'!$B$2:$B$50,0)),"")</f>
        <v>Crashers</v>
      </c>
      <c r="D22" s="95">
        <f>IF(B22&lt;&gt;"",IF(ISNA(C22),0,INDEX('Classic Laps'!$C$2:$C$49,MATCH(B22,'Classic Laps'!$B$2:$B$49,0))),"")</f>
        <v>104.5968882602546</v>
      </c>
      <c r="E22" s="88">
        <f t="shared" si="2"/>
        <v>5</v>
      </c>
      <c r="F22" s="86"/>
      <c r="G22" s="99" t="s">
        <v>108</v>
      </c>
      <c r="H22" s="96">
        <f>IF(G22&lt;&gt;"",IF(ISNA(MATCH(G22,'Stock Handicaps'!$B$2:$B$50,0)),IF(ISNA(MATCH(G22,'Stock Points'!$B$2:$B$50,0)),MATCH(G22,'Stock Points'!$B$2:$B$50,0),""),INDEX('Stock Handicaps'!$C$2:$C$50,MATCH(G22,'Stock Handicaps'!$B$2:$B$50,0))),"")</f>
      </c>
      <c r="I22" s="80"/>
      <c r="J22" s="99"/>
      <c r="K22" s="88">
        <f>IF(J22&lt;&gt;"",INDEX('Modified Points'!$A$2:$A$50,MATCH(J22,'Modified Points'!$B$2:$B$50,0)),"")</f>
      </c>
      <c r="L22" s="99"/>
      <c r="M22" s="88">
        <f t="shared" si="0"/>
      </c>
      <c r="N22" s="80"/>
      <c r="O22" s="102"/>
      <c r="P22" s="99"/>
      <c r="Q22" s="87"/>
      <c r="R22" s="86"/>
      <c r="S22" s="99"/>
      <c r="T22" s="80"/>
    </row>
    <row r="23" spans="1:20" ht="12.75">
      <c r="A23" s="80"/>
      <c r="B23" s="99" t="s">
        <v>108</v>
      </c>
      <c r="C23" s="88" t="str">
        <f>IF(B23&lt;&gt;"",INDEX('Classic Points'!$A$2:$A$50,MATCH(B23,'Classic Points'!$B$2:$B$50,0)),"")</f>
        <v>Crashers</v>
      </c>
      <c r="D23" s="95">
        <f>IF(B23&lt;&gt;"",IF(ISNA(C23),0,INDEX('Classic Laps'!$C$2:$C$49,MATCH(B23,'Classic Laps'!$B$2:$B$49,0))),"")</f>
        <v>102.1923620933522</v>
      </c>
      <c r="E23" s="88">
        <f t="shared" si="2"/>
        <v>8</v>
      </c>
      <c r="F23" s="86"/>
      <c r="G23" s="99" t="s">
        <v>115</v>
      </c>
      <c r="H23" s="96">
        <f>IF(G23&lt;&gt;"",IF(ISNA(MATCH(G23,'Stock Handicaps'!$B$2:$B$50,0)),IF(ISNA(MATCH(G23,'Stock Points'!$B$2:$B$50,0)),MATCH(G23,'Stock Points'!$B$2:$B$50,0),""),INDEX('Stock Handicaps'!$C$2:$C$50,MATCH(G23,'Stock Handicaps'!$B$2:$B$50,0))),"")</f>
        <v>6</v>
      </c>
      <c r="I23" s="80"/>
      <c r="J23" s="99"/>
      <c r="K23" s="88">
        <f>IF(J23&lt;&gt;"",INDEX('Modified Points'!$A$2:$A$50,MATCH(J23,'Modified Points'!$B$2:$B$50,0)),"")</f>
      </c>
      <c r="L23" s="99"/>
      <c r="M23" s="88">
        <f t="shared" si="0"/>
      </c>
      <c r="N23" s="80"/>
      <c r="O23" s="102"/>
      <c r="P23" s="99"/>
      <c r="Q23" s="87"/>
      <c r="R23" s="86"/>
      <c r="S23" s="99"/>
      <c r="T23" s="80"/>
    </row>
    <row r="24" spans="1:20" ht="12.75">
      <c r="A24" s="80"/>
      <c r="B24" s="99" t="s">
        <v>115</v>
      </c>
      <c r="C24" s="88" t="str">
        <f>IF(B24&lt;&gt;"",INDEX('Classic Points'!$A$2:$A$50,MATCH(B24,'Classic Points'!$B$2:$B$50,0)),"")</f>
        <v>Crashers</v>
      </c>
      <c r="D24" s="95">
        <f>IF(B24&lt;&gt;"",IF(ISNA(C24),0,INDEX('Classic Laps'!$C$2:$C$49,MATCH(B24,'Classic Laps'!$B$2:$B$49,0))),"")</f>
        <v>92.57425742574257</v>
      </c>
      <c r="E24" s="88">
        <f t="shared" si="2"/>
        <v>15</v>
      </c>
      <c r="F24" s="86"/>
      <c r="G24" s="153" t="s">
        <v>29</v>
      </c>
      <c r="H24" s="96">
        <f>IF(G24&lt;&gt;"",IF(ISNA(MATCH(G24,'Stock Handicaps'!$B$2:$B$50,0)),IF(ISNA(MATCH(G24,'Stock Points'!$B$2:$B$50,0)),MATCH(G24,'Stock Points'!$B$2:$B$50,0),""),INDEX('Stock Handicaps'!$C$2:$C$50,MATCH(G24,'Stock Handicaps'!$B$2:$B$50,0))),"")</f>
      </c>
      <c r="I24" s="80"/>
      <c r="J24" s="99"/>
      <c r="K24" s="88">
        <f>IF(J24&lt;&gt;"",INDEX('Modified Points'!$A$2:$A$50,MATCH(J24,'Modified Points'!$B$2:$B$50,0)),"")</f>
      </c>
      <c r="L24" s="99"/>
      <c r="M24" s="88">
        <f t="shared" si="0"/>
      </c>
      <c r="N24" s="80"/>
      <c r="O24" s="102"/>
      <c r="P24" s="99"/>
      <c r="Q24" s="87"/>
      <c r="R24" s="86"/>
      <c r="S24" s="99"/>
      <c r="T24" s="80"/>
    </row>
    <row r="25" spans="1:20" ht="12.75">
      <c r="A25" s="80"/>
      <c r="B25" s="99" t="s">
        <v>29</v>
      </c>
      <c r="C25" s="88" t="str">
        <f>IF(B25&lt;&gt;"",INDEX('Classic Points'!$A$2:$A$50,MATCH(B25,'Classic Points'!$B$2:$B$50,0)),"")</f>
        <v>Crashers</v>
      </c>
      <c r="D25" s="95">
        <f>IF(B25&lt;&gt;"",IF(ISNA(C25),0,INDEX('Classic Laps'!$C$2:$C$49,MATCH(B25,'Classic Laps'!$B$2:$B$49,0))),"")</f>
        <v>82.95615275813296</v>
      </c>
      <c r="E25" s="88">
        <f t="shared" si="2"/>
        <v>17</v>
      </c>
      <c r="F25" s="86"/>
      <c r="G25" s="153" t="s">
        <v>30</v>
      </c>
      <c r="H25" s="96">
        <f>IF(G25&lt;&gt;"",IF(ISNA(MATCH(G25,'Stock Handicaps'!$B$2:$B$50,0)),IF(ISNA(MATCH(G25,'Stock Points'!$B$2:$B$50,0)),MATCH(G25,'Stock Points'!$B$2:$B$50,0),""),INDEX('Stock Handicaps'!$C$2:$C$50,MATCH(G25,'Stock Handicaps'!$B$2:$B$50,0))),"")</f>
      </c>
      <c r="I25" s="80"/>
      <c r="J25" s="99"/>
      <c r="K25" s="88">
        <f>IF(J25&lt;&gt;"",INDEX('Modified Points'!$A$2:$A$50,MATCH(J25,'Modified Points'!$B$2:$B$50,0)),"")</f>
      </c>
      <c r="L25" s="99"/>
      <c r="M25" s="88">
        <f t="shared" si="0"/>
      </c>
      <c r="N25" s="80"/>
      <c r="O25" s="102"/>
      <c r="P25" s="99"/>
      <c r="Q25" s="87"/>
      <c r="R25" s="86"/>
      <c r="S25" s="99"/>
      <c r="T25" s="80"/>
    </row>
    <row r="26" spans="1:20" ht="12.75">
      <c r="A26" s="80"/>
      <c r="B26" s="99" t="s">
        <v>111</v>
      </c>
      <c r="C26" s="88" t="str">
        <f>IF(B26&lt;&gt;"",INDEX('Classic Points'!$A$2:$A$50,MATCH(B26,'Classic Points'!$B$2:$B$50,0)),"")</f>
        <v>Crashers</v>
      </c>
      <c r="D26" s="95">
        <f>IF(B26&lt;&gt;"",IF(ISNA(C26),0,INDEX('Classic Laps'!$C$2:$C$49,MATCH(B26,'Classic Laps'!$B$2:$B$49,0))),"")</f>
        <v>88.96746817538897</v>
      </c>
      <c r="E26" s="88">
        <f t="shared" si="2"/>
        <v>16</v>
      </c>
      <c r="F26" s="86"/>
      <c r="G26" s="153"/>
      <c r="H26" s="96">
        <f>IF(G26&lt;&gt;"",IF(ISNA(MATCH(G26,'Stock Handicaps'!$B$2:$B$50,0)),IF(ISNA(MATCH(G26,'Stock Points'!$B$2:$B$50,0)),MATCH(G26,'Stock Points'!$B$2:$B$50,0),""),INDEX('Stock Handicaps'!$C$2:$C$50,MATCH(G26,'Stock Handicaps'!$B$2:$B$50,0))),"")</f>
      </c>
      <c r="I26" s="80"/>
      <c r="J26" s="99"/>
      <c r="K26" s="88">
        <f>IF(J26&lt;&gt;"",INDEX('Modified Points'!$A$2:$A$50,MATCH(J26,'Modified Points'!$B$2:$B$50,0)),"")</f>
      </c>
      <c r="L26" s="99"/>
      <c r="M26" s="88">
        <f t="shared" si="0"/>
      </c>
      <c r="N26" s="80"/>
      <c r="O26" s="102"/>
      <c r="P26" s="99"/>
      <c r="Q26" s="87"/>
      <c r="R26" s="86"/>
      <c r="S26" s="99"/>
      <c r="T26" s="80"/>
    </row>
    <row r="27" spans="1:20" ht="12.75">
      <c r="A27" s="80"/>
      <c r="B27" s="99" t="s">
        <v>31</v>
      </c>
      <c r="C27" s="88" t="str">
        <f>IF(B27&lt;&gt;"",INDEX('Classic Points'!$A$2:$A$50,MATCH(B27,'Classic Points'!$B$2:$B$50,0)),"")</f>
        <v>Crashers</v>
      </c>
      <c r="D27" s="95">
        <f>IF(B27&lt;&gt;"",IF(ISNA(C27),0,INDEX('Classic Laps'!$C$2:$C$49,MATCH(B27,'Classic Laps'!$B$2:$B$49,0))),"")</f>
        <v>111.81046676096182</v>
      </c>
      <c r="E27" s="88">
        <f t="shared" si="2"/>
        <v>4</v>
      </c>
      <c r="F27" s="86"/>
      <c r="G27" s="99"/>
      <c r="H27" s="96">
        <f>IF(G27&lt;&gt;"",IF(ISNA(MATCH(G27,'Stock Handicaps'!$B$2:$B$50,0)),IF(ISNA(MATCH(G27,'Stock Points'!$B$2:$B$50,0)),MATCH(G27,'Stock Points'!$B$2:$B$50,0),""),INDEX('Stock Handicaps'!$C$2:$C$50,MATCH(G27,'Stock Handicaps'!$B$2:$B$50,0))),"")</f>
      </c>
      <c r="I27" s="80"/>
      <c r="J27" s="99"/>
      <c r="K27" s="88">
        <f>IF(J27&lt;&gt;"",INDEX('Modified Points'!$A$2:$A$50,MATCH(J27,'Modified Points'!$B$2:$B$50,0)),"")</f>
      </c>
      <c r="L27" s="99"/>
      <c r="M27" s="88">
        <f t="shared" si="0"/>
      </c>
      <c r="N27" s="80"/>
      <c r="O27" s="102"/>
      <c r="P27" s="99"/>
      <c r="Q27" s="87"/>
      <c r="R27" s="86"/>
      <c r="S27" s="99"/>
      <c r="T27" s="80"/>
    </row>
    <row r="28" spans="1:20" ht="12.75">
      <c r="A28" s="80"/>
      <c r="B28" s="99" t="s">
        <v>33</v>
      </c>
      <c r="C28" s="88" t="str">
        <f>IF(B28&lt;&gt;"",INDEX('Classic Points'!$A$2:$A$50,MATCH(B28,'Classic Points'!$B$2:$B$50,0)),"")</f>
        <v>Crashers</v>
      </c>
      <c r="D28" s="95">
        <f>IF(B28&lt;&gt;"",IF(ISNA(C28),0,INDEX('Classic Laps'!$C$2:$C$49,MATCH(B28,'Classic Laps'!$B$2:$B$49,0))),"")</f>
        <v>93.77652050919379</v>
      </c>
      <c r="E28" s="88">
        <f t="shared" si="2"/>
        <v>14</v>
      </c>
      <c r="F28" s="86"/>
      <c r="G28" s="99"/>
      <c r="H28" s="88">
        <f>IF(G28&lt;&gt;"",IF(ISNA(MATCH(G28,'Stock Handicaps'!$B$2:$B$50,0)),IF(ISNA(MATCH(G28,'Stock Points'!$B$2:$B$50,0)),MATCH(G28,'Stock Points'!$B$2:$B$50,0),""),INDEX('Stock Handicaps'!$C$2:$C$50,MATCH(G28,'Stock Handicaps'!$B$2:$B$50,0))),"")</f>
      </c>
      <c r="I28" s="80"/>
      <c r="J28" s="99"/>
      <c r="K28" s="88">
        <f>IF(J28&lt;&gt;"",INDEX('Modified Points'!$A$2:$A$50,MATCH(J28,'Modified Points'!$B$2:$B$50,0)),"")</f>
      </c>
      <c r="L28" s="99"/>
      <c r="M28" s="88">
        <f t="shared" si="0"/>
      </c>
      <c r="N28" s="80"/>
      <c r="O28" s="102"/>
      <c r="P28" s="99"/>
      <c r="Q28" s="87"/>
      <c r="R28" s="86"/>
      <c r="S28" s="99"/>
      <c r="T28" s="80"/>
    </row>
    <row r="29" spans="1:20" ht="12.75">
      <c r="A29" s="80"/>
      <c r="B29" s="99"/>
      <c r="C29" s="88">
        <f>IF(B29&lt;&gt;"",INDEX('Classic Points'!$A$2:$A$50,MATCH(B29,'Classic Points'!$B$2:$B$50,0)),"")</f>
      </c>
      <c r="D29" s="95">
        <f>IF(B29&lt;&gt;"",IF(ISNA(C29),0,INDEX('Classic Laps'!$C$2:$C$49,MATCH(B29,'Classic Laps'!$B$2:$B$49,0))),"")</f>
      </c>
      <c r="E29" s="88">
        <f t="shared" si="2"/>
      </c>
      <c r="F29" s="80"/>
      <c r="G29" s="99"/>
      <c r="H29" s="88">
        <f>IF(G29&lt;&gt;"",IF(ISNA(MATCH(G29,'Stock Handicaps'!$B$2:$B$50,0)),IF(ISNA(MATCH(G29,'Stock Points'!$B$2:$B$50,0)),MATCH(G29,'Stock Points'!$B$2:$B$50,0),""),INDEX('Stock Handicaps'!$C$2:$C$50,MATCH(G29,'Stock Handicaps'!$B$2:$B$50,0))),"")</f>
      </c>
      <c r="I29" s="80"/>
      <c r="J29" s="99"/>
      <c r="K29" s="88">
        <f>IF(J29&lt;&gt;"",INDEX('Modified Points'!$A$2:$A$50,MATCH(J29,'Modified Points'!$B$2:$B$50,0)),"")</f>
      </c>
      <c r="L29" s="99"/>
      <c r="M29" s="88">
        <f t="shared" si="0"/>
      </c>
      <c r="N29" s="80"/>
      <c r="O29" s="102"/>
      <c r="P29" s="99"/>
      <c r="Q29" s="87"/>
      <c r="R29" s="80"/>
      <c r="S29" s="99"/>
      <c r="T29" s="80"/>
    </row>
    <row r="30" spans="1:20" ht="12.75">
      <c r="A30" s="80"/>
      <c r="B30" s="99"/>
      <c r="C30" s="88">
        <f>IF(B30&lt;&gt;"",INDEX('Classic Points'!$A$2:$A$50,MATCH(B30,'Classic Points'!$B$2:$B$50,0)),"")</f>
      </c>
      <c r="D30" s="95">
        <f>IF(B30&lt;&gt;"",IF(ISNA(C30),0,INDEX('Classic Laps'!$C$2:$C$49,MATCH(B30,'Classic Laps'!$B$2:$B$49,0))),"")</f>
      </c>
      <c r="E30" s="88">
        <f t="shared" si="2"/>
      </c>
      <c r="F30" s="80"/>
      <c r="G30" s="99"/>
      <c r="H30" s="88">
        <f>IF(G30&lt;&gt;"",IF(ISNA(MATCH(G30,'Stock Handicaps'!$B$2:$B$50,0)),IF(ISNA(MATCH(G30,'Stock Points'!$B$2:$B$50,0)),MATCH(G30,'Stock Points'!$B$2:$B$50,0),""),INDEX('Stock Handicaps'!$C$2:$C$50,MATCH(G30,'Stock Handicaps'!$B$2:$B$50,0))),"")</f>
      </c>
      <c r="I30" s="80"/>
      <c r="J30" s="100"/>
      <c r="K30" s="92">
        <f>IF(J30&lt;&gt;"",INDEX('Modified Points'!$A$2:$A$50,MATCH(J30,'Modified Points'!$B$2:$B$50,0)),"")</f>
      </c>
      <c r="L30" s="100"/>
      <c r="M30" s="92">
        <f t="shared" si="0"/>
      </c>
      <c r="N30" s="80"/>
      <c r="O30" s="103"/>
      <c r="P30" s="100"/>
      <c r="Q30" s="91"/>
      <c r="R30" s="80"/>
      <c r="S30" s="99"/>
      <c r="T30" s="80"/>
    </row>
    <row r="31" spans="1:20" ht="12.75">
      <c r="A31" s="80"/>
      <c r="B31" s="99"/>
      <c r="C31" s="88">
        <f>IF(B31&lt;&gt;"",INDEX('Classic Points'!$A$2:$A$50,MATCH(B31,'Classic Points'!$B$2:$B$50,0)),"")</f>
      </c>
      <c r="D31" s="95">
        <f>IF(B31&lt;&gt;"",IF(ISNA(C31),0,INDEX('Classic Laps'!$C$2:$C$49,MATCH(B31,'Classic Laps'!$B$2:$B$49,0))),"")</f>
      </c>
      <c r="E31" s="88">
        <f t="shared" si="2"/>
      </c>
      <c r="F31" s="80"/>
      <c r="G31" s="99"/>
      <c r="H31" s="88">
        <f>IF(G31&lt;&gt;"",IF(ISNA(MATCH(G31,'Stock Handicaps'!$B$2:$B$50,0)),IF(ISNA(MATCH(G31,'Stock Points'!$B$2:$B$50,0)),MATCH(G31,'Stock Points'!$B$2:$B$50,0),""),INDEX('Stock Handicaps'!$C$2:$C$50,MATCH(G31,'Stock Handicaps'!$B$2:$B$50,0))),"")</f>
      </c>
      <c r="I31" s="80"/>
      <c r="J31" s="80"/>
      <c r="K31" s="80"/>
      <c r="L31" s="80"/>
      <c r="M31" s="80">
        <f t="shared" si="0"/>
      </c>
      <c r="N31" s="80"/>
      <c r="O31" s="80"/>
      <c r="P31" s="80"/>
      <c r="Q31" s="80"/>
      <c r="R31" s="80"/>
      <c r="S31" s="99"/>
      <c r="T31" s="80"/>
    </row>
    <row r="32" spans="1:20" ht="12.75">
      <c r="A32" s="80"/>
      <c r="B32" s="99"/>
      <c r="C32" s="88">
        <f>IF(B32&lt;&gt;"",INDEX('Classic Points'!$A$2:$A$50,MATCH(B32,'Classic Points'!$B$2:$B$50,0)),"")</f>
      </c>
      <c r="D32" s="95">
        <f>IF(B32&lt;&gt;"",IF(ISNA(C32),0,INDEX('Classic Laps'!$C$2:$C$49,MATCH(B32,'Classic Laps'!$B$2:$B$49,0))),"")</f>
      </c>
      <c r="E32" s="88">
        <f t="shared" si="2"/>
      </c>
      <c r="F32" s="80"/>
      <c r="G32" s="99"/>
      <c r="H32" s="88">
        <f>IF(G32&lt;&gt;"",IF(ISNA(MATCH(G32,'Stock Handicaps'!$B$2:$B$50,0)),IF(ISNA(MATCH(G32,'Stock Points'!$B$2:$B$50,0)),MATCH(G32,'Stock Points'!$B$2:$B$50,0),""),INDEX('Stock Handicaps'!$C$2:$C$50,MATCH(G32,'Stock Handicaps'!$B$2:$B$50,0))),"")</f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99"/>
      <c r="T32" s="80"/>
    </row>
    <row r="33" spans="1:20" ht="12.75">
      <c r="A33" s="80"/>
      <c r="B33" s="99"/>
      <c r="C33" s="88">
        <f>IF(B33&lt;&gt;"",INDEX('Classic Points'!$A$2:$A$50,MATCH(B33,'Classic Points'!$B$2:$B$50,0)),"")</f>
      </c>
      <c r="D33" s="95">
        <f>IF(B33&lt;&gt;"",IF(ISNA(C33),0,INDEX('Classic Laps'!$C$2:$C$49,MATCH(B33,'Classic Laps'!$B$2:$B$49,0))),"")</f>
      </c>
      <c r="E33" s="88">
        <f t="shared" si="2"/>
      </c>
      <c r="F33" s="80"/>
      <c r="G33" s="99"/>
      <c r="H33" s="88">
        <f>IF(G33&lt;&gt;"",IF(ISNA(MATCH(G33,'Stock Handicaps'!$B$2:$B$50,0)),IF(ISNA(MATCH(G33,'Stock Points'!$B$2:$B$50,0)),MATCH(G33,'Stock Points'!$B$2:$B$50,0),""),INDEX('Stock Handicaps'!$C$2:$C$50,MATCH(G33,'Stock Handicaps'!$B$2:$B$50,0))),"")</f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99"/>
      <c r="T33" s="80"/>
    </row>
    <row r="34" spans="1:20" ht="12.75">
      <c r="A34" s="80"/>
      <c r="B34" s="99"/>
      <c r="C34" s="88">
        <f>IF(B34&lt;&gt;"",INDEX('Classic Points'!$A$2:$A$50,MATCH(B34,'Classic Points'!$B$2:$B$50,0)),"")</f>
      </c>
      <c r="D34" s="95">
        <f>IF(B34&lt;&gt;"",IF(ISNA(C34),0,INDEX('Classic Laps'!$C$2:$C$49,MATCH(B34,'Classic Laps'!$B$2:$B$49,0))),"")</f>
      </c>
      <c r="E34" s="88">
        <f t="shared" si="2"/>
      </c>
      <c r="F34" s="80"/>
      <c r="G34" s="99"/>
      <c r="H34" s="88">
        <f>IF(G34&lt;&gt;"",IF(ISNA(MATCH(G34,'Stock Handicaps'!$B$2:$B$50,0)),IF(ISNA(MATCH(G34,'Stock Points'!$B$2:$B$50,0)),MATCH(G34,'Stock Points'!$B$2:$B$50,0),""),INDEX('Stock Handicaps'!$C$2:$C$50,MATCH(G34,'Stock Handicaps'!$B$2:$B$50,0))),"")</f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9"/>
      <c r="T34" s="80"/>
    </row>
    <row r="35" spans="1:20" ht="12.75">
      <c r="A35" s="80"/>
      <c r="B35" s="99"/>
      <c r="C35" s="88">
        <f>IF(B35&lt;&gt;"",INDEX('Classic Points'!$A$2:$A$50,MATCH(B35,'Classic Points'!$B$2:$B$50,0)),"")</f>
      </c>
      <c r="D35" s="95">
        <f>IF(B35&lt;&gt;"",IF(ISNA(C35),0,INDEX('Classic Laps'!$C$2:$C$49,MATCH(B35,'Classic Laps'!$B$2:$B$49,0))),"")</f>
      </c>
      <c r="E35" s="88">
        <f t="shared" si="2"/>
      </c>
      <c r="F35" s="80"/>
      <c r="G35" s="99"/>
      <c r="H35" s="88">
        <f>IF(G35&lt;&gt;"",IF(ISNA(MATCH(G35,'Stock Handicaps'!$B$2:$B$50,0)),IF(ISNA(MATCH(G35,'Stock Points'!$B$2:$B$50,0)),MATCH(G35,'Stock Points'!$B$2:$B$50,0),""),INDEX('Stock Handicaps'!$C$2:$C$50,MATCH(G35,'Stock Handicaps'!$B$2:$B$50,0))),"")</f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99"/>
      <c r="T35" s="80"/>
    </row>
    <row r="36" spans="1:20" ht="12.75">
      <c r="A36" s="80"/>
      <c r="B36" s="99"/>
      <c r="C36" s="88">
        <f>IF(B36&lt;&gt;"",INDEX('Classic Points'!$A$2:$A$50,MATCH(B36,'Classic Points'!$B$2:$B$50,0)),"")</f>
      </c>
      <c r="D36" s="95">
        <f>IF(B36&lt;&gt;"",IF(ISNA(C36),0,INDEX('Classic Laps'!$C$2:$C$49,MATCH(B36,'Classic Laps'!$B$2:$B$49,0))),"")</f>
      </c>
      <c r="E36" s="88">
        <f t="shared" si="2"/>
      </c>
      <c r="F36" s="80"/>
      <c r="G36" s="99"/>
      <c r="H36" s="88">
        <f>IF(G36&lt;&gt;"",IF(ISNA(MATCH(G36,'Stock Handicaps'!$B$2:$B$50,0)),IF(ISNA(MATCH(G36,'Stock Points'!$B$2:$B$50,0)),MATCH(G36,'Stock Points'!$B$2:$B$50,0),""),INDEX('Stock Handicaps'!$C$2:$C$50,MATCH(G36,'Stock Handicaps'!$B$2:$B$50,0))),"")</f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99"/>
      <c r="T36" s="80"/>
    </row>
    <row r="37" spans="1:20" ht="12.75">
      <c r="A37" s="80"/>
      <c r="B37" s="99"/>
      <c r="C37" s="88">
        <f>IF(B37&lt;&gt;"",INDEX('Classic Points'!$A$2:$A$50,MATCH(B37,'Classic Points'!$B$2:$B$50,0)),"")</f>
      </c>
      <c r="D37" s="95">
        <f>IF(B37&lt;&gt;"",IF(ISNA(C37),0,INDEX('Classic Laps'!$C$2:$C$49,MATCH(B37,'Classic Laps'!$B$2:$B$49,0))),"")</f>
      </c>
      <c r="E37" s="88">
        <f t="shared" si="2"/>
      </c>
      <c r="F37" s="80"/>
      <c r="G37" s="99"/>
      <c r="H37" s="88">
        <f>IF(G37&lt;&gt;"",IF(ISNA(MATCH(G37,'Stock Handicaps'!$B$2:$B$50,0)),IF(ISNA(MATCH(G37,'Stock Points'!$B$2:$B$50,0)),MATCH(G37,'Stock Points'!$B$2:$B$50,0),""),INDEX('Stock Handicaps'!$C$2:$C$50,MATCH(G37,'Stock Handicaps'!$B$2:$B$50,0))),"")</f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99"/>
      <c r="T37" s="80"/>
    </row>
    <row r="38" spans="1:20" ht="12.75">
      <c r="A38" s="80"/>
      <c r="B38" s="99"/>
      <c r="C38" s="88">
        <f>IF(B38&lt;&gt;"",INDEX('Classic Points'!$A$2:$A$50,MATCH(B38,'Classic Points'!$B$2:$B$50,0)),"")</f>
      </c>
      <c r="D38" s="95">
        <f>IF(B38&lt;&gt;"",IF(ISNA(C38),0,INDEX('Classic Laps'!$C$2:$C$49,MATCH(B38,'Classic Laps'!$B$2:$B$49,0))),"")</f>
      </c>
      <c r="E38" s="88">
        <f t="shared" si="2"/>
      </c>
      <c r="F38" s="80"/>
      <c r="G38" s="99"/>
      <c r="H38" s="88">
        <f>IF(G38&lt;&gt;"",IF(ISNA(MATCH(G38,'Stock Handicaps'!$B$2:$B$50,0)),IF(ISNA(MATCH(G38,'Stock Points'!$B$2:$B$50,0)),MATCH(G38,'Stock Points'!$B$2:$B$50,0),""),INDEX('Stock Handicaps'!$C$2:$C$50,MATCH(G38,'Stock Handicaps'!$B$2:$B$50,0))),"")</f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99"/>
      <c r="T38" s="80"/>
    </row>
    <row r="39" spans="1:20" ht="12.75">
      <c r="A39" s="80"/>
      <c r="B39" s="99"/>
      <c r="C39" s="88">
        <f>IF(B39&lt;&gt;"",INDEX('Classic Points'!$A$2:$A$50,MATCH(B39,'Classic Points'!$B$2:$B$50,0)),"")</f>
      </c>
      <c r="D39" s="95">
        <f>IF(B39&lt;&gt;"",IF(ISNA(C39),0,INDEX('Classic Laps'!$C$2:$C$49,MATCH(B39,'Classic Laps'!$B$2:$B$49,0))),"")</f>
      </c>
      <c r="E39" s="88">
        <f t="shared" si="2"/>
      </c>
      <c r="F39" s="80"/>
      <c r="G39" s="99"/>
      <c r="H39" s="88">
        <f>IF(G39&lt;&gt;"",IF(ISNA(MATCH(G39,'Stock Handicaps'!$B$2:$B$50,0)),IF(ISNA(MATCH(G39,'Stock Points'!$B$2:$B$50,0)),MATCH(G39,'Stock Points'!$B$2:$B$50,0),""),INDEX('Stock Handicaps'!$C$2:$C$50,MATCH(G39,'Stock Handicaps'!$B$2:$B$50,0))),"")</f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99"/>
      <c r="T39" s="80"/>
    </row>
    <row r="40" spans="1:20" ht="12.75">
      <c r="A40" s="80"/>
      <c r="B40" s="100"/>
      <c r="C40" s="92">
        <f>IF(B40&lt;&gt;"",INDEX('Classic Points'!$A$2:$A$50,MATCH(B40,'Classic Points'!$B$2:$B$50,0)),"")</f>
      </c>
      <c r="D40" s="97">
        <f>IF(B40&lt;&gt;"",IF(ISNA(C40),0,INDEX('Classic Laps'!$C$2:$C$49,MATCH(B40,'Classic Laps'!$B$2:$B$49,0))),"")</f>
      </c>
      <c r="E40" s="92">
        <f t="shared" si="2"/>
      </c>
      <c r="F40" s="80"/>
      <c r="G40" s="100"/>
      <c r="H40" s="92">
        <f>IF(G40&lt;&gt;"",IF(ISNA(MATCH(G40,'Stock Handicaps'!$B$2:$B$50,0)),IF(ISNA(MATCH(G40,'Stock Points'!$B$2:$B$50,0)),MATCH(G40,'Stock Points'!$B$2:$B$50,0),""),INDEX('Stock Handicaps'!$C$2:$C$50,MATCH(G40,'Stock Handicaps'!$B$2:$B$50,0))),"")</f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100"/>
      <c r="T40" s="80"/>
    </row>
    <row r="41" spans="1:20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</sheetData>
  <sheetProtection sheet="1" objects="1" scenarios="1" selectLockedCells="1"/>
  <mergeCells count="7">
    <mergeCell ref="G6:H6"/>
    <mergeCell ref="J6:M6"/>
    <mergeCell ref="O6:Q6"/>
    <mergeCell ref="C2:E2"/>
    <mergeCell ref="C3:E3"/>
    <mergeCell ref="C4:E4"/>
    <mergeCell ref="B6:E6"/>
  </mergeCells>
  <dataValidations count="1">
    <dataValidation type="list" allowBlank="1" showInputMessage="1" showErrorMessage="1" sqref="B11:B40 G11:G23">
      <formula1>ClassicDrivers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Q56"/>
  <sheetViews>
    <sheetView workbookViewId="0" topLeftCell="B1">
      <selection activeCell="H28" sqref="H28"/>
    </sheetView>
  </sheetViews>
  <sheetFormatPr defaultColWidth="9.140625" defaultRowHeight="12.75"/>
  <cols>
    <col min="1" max="1" width="9.7109375" style="0" customWidth="1"/>
    <col min="3" max="3" width="9.140625" style="136" customWidth="1"/>
    <col min="4" max="4" width="9.140625" style="131" customWidth="1"/>
  </cols>
  <sheetData>
    <row r="1" spans="1:9" ht="12.75" customHeight="1">
      <c r="A1" s="130" t="s">
        <v>88</v>
      </c>
      <c r="B1" s="1" t="s">
        <v>63</v>
      </c>
      <c r="E1" s="138"/>
      <c r="F1" s="181">
        <v>0.0013773148148148147</v>
      </c>
      <c r="G1" s="182"/>
      <c r="H1" s="182"/>
      <c r="I1" s="183"/>
    </row>
    <row r="2" spans="5:9" ht="12.75" customHeight="1">
      <c r="E2" s="114"/>
      <c r="F2" s="184">
        <v>2</v>
      </c>
      <c r="G2" s="185"/>
      <c r="H2" s="185"/>
      <c r="I2" s="186"/>
    </row>
    <row r="3" spans="1:9" ht="12.75" customHeight="1">
      <c r="A3" s="108" t="s">
        <v>69</v>
      </c>
      <c r="B3" s="178">
        <v>5</v>
      </c>
      <c r="C3" s="134"/>
      <c r="E3" s="139">
        <v>2</v>
      </c>
      <c r="F3" s="184"/>
      <c r="G3" s="185"/>
      <c r="H3" s="185"/>
      <c r="I3" s="186"/>
    </row>
    <row r="4" spans="1:9" ht="12.75" customHeight="1">
      <c r="A4" s="113"/>
      <c r="B4" s="179"/>
      <c r="C4" s="140"/>
      <c r="E4" s="115"/>
      <c r="F4" s="184"/>
      <c r="G4" s="185"/>
      <c r="H4" s="185"/>
      <c r="I4" s="186"/>
    </row>
    <row r="5" spans="1:12" ht="12.75" customHeight="1">
      <c r="A5" s="113"/>
      <c r="B5" s="113"/>
      <c r="C5" s="137">
        <f ca="1">INDIRECT($B$1&amp;"!$L$1")</f>
        <v>0.001388888888888889</v>
      </c>
      <c r="E5" s="115"/>
      <c r="F5" s="187"/>
      <c r="G5" s="188"/>
      <c r="H5" s="188"/>
      <c r="I5" s="189"/>
      <c r="K5" s="190" t="s">
        <v>100</v>
      </c>
      <c r="L5" s="191"/>
    </row>
    <row r="6" spans="1:17" ht="12.75">
      <c r="A6" t="s">
        <v>94</v>
      </c>
      <c r="B6" s="118"/>
      <c r="C6" s="135" t="s">
        <v>98</v>
      </c>
      <c r="E6" s="122" t="s">
        <v>12</v>
      </c>
      <c r="F6" s="123" t="s">
        <v>89</v>
      </c>
      <c r="G6" s="123" t="s">
        <v>90</v>
      </c>
      <c r="H6" s="124" t="s">
        <v>91</v>
      </c>
      <c r="I6" s="123" t="s">
        <v>92</v>
      </c>
      <c r="J6" s="125"/>
      <c r="K6" s="125" t="s">
        <v>1</v>
      </c>
      <c r="L6" s="133" t="s">
        <v>2</v>
      </c>
      <c r="N6" s="180" t="s">
        <v>93</v>
      </c>
      <c r="O6" s="180"/>
      <c r="P6" s="180"/>
      <c r="Q6" s="180"/>
    </row>
    <row r="7" spans="1:17" ht="12.75">
      <c r="A7" s="116">
        <v>0.00034722222222222224</v>
      </c>
      <c r="B7" s="119"/>
      <c r="C7" s="137">
        <f ca="1">IF($E7="","",INDEX(INDIRECT($B$1&amp;"!$L$1:$L$100"),MATCH($E7,INDIRECT($B$1&amp;"!$A$1:$A$100"),0)))</f>
        <v>0.001388888888888889</v>
      </c>
      <c r="E7" s="126">
        <v>1</v>
      </c>
      <c r="F7" s="127" t="str">
        <f ca="1">IF($E7="","",INDEX(INDIRECT($B$1&amp;"!$B$1:$B$100"),MATCH($E7,INDIRECT($B$1&amp;"!$A$1:$A$100"),0)))</f>
        <v>Karl</v>
      </c>
      <c r="G7" s="127" t="str">
        <f ca="1">IF($E7="","",INDEX(INDIRECT($B$1&amp;"!$d$1:$d$100"),MATCH($E7,INDIRECT($B$1&amp;"!$A$1:$A$100"),0)))</f>
        <v>John</v>
      </c>
      <c r="H7" s="127" t="str">
        <f ca="1">IF($E7="","",INDEX(INDIRECT($B$1&amp;"!$f$1:$f$100"),MATCH($E7,INDIRECT($B$1&amp;"!$A$1:$A$100"),0)))</f>
        <v>empty</v>
      </c>
      <c r="I7" s="127" t="str">
        <f ca="1">IF($E7="","",INDEX(INDIRECT($B$1&amp;"!$h$1:$h$100"),MATCH($E7,INDIRECT($B$1&amp;"!$A$1:$A$100"),0)))</f>
        <v>Geoff</v>
      </c>
      <c r="J7" s="128"/>
      <c r="K7" s="127" t="str">
        <f>F7</f>
        <v>Karl</v>
      </c>
      <c r="L7" s="128">
        <f ca="1">IF($E7="","",INDEX(INDIRECT($B$1&amp;"!$M$1:$M$100"),MATCH(K7,INDIRECT($B$1&amp;"!$O$1:$O$100"),0)))</f>
      </c>
      <c r="N7" s="143" t="str">
        <f aca="true" ca="1" t="shared" si="0" ref="N7:Q8">IF($E7="","",INDEX(INDIRECT($B$1&amp;"!$N$1:$N$100"),MATCH(F7,INDIRECT($B$1&amp;"!$O$1:$O$100"),0)))</f>
        <v>Speed</v>
      </c>
      <c r="O7" s="128" t="str">
        <f ca="1" t="shared" si="0"/>
        <v>Consistency</v>
      </c>
      <c r="P7" s="128" t="str">
        <f ca="1" t="shared" si="0"/>
        <v>n/a</v>
      </c>
      <c r="Q7" s="128" t="str">
        <f ca="1" t="shared" si="0"/>
        <v>Speed</v>
      </c>
    </row>
    <row r="8" spans="1:17" ht="12.75">
      <c r="A8" s="116">
        <v>0.00011574074074074073</v>
      </c>
      <c r="B8" s="120"/>
      <c r="C8" s="137">
        <f aca="true" ca="1" t="shared" si="1" ref="C8:C56">IF($E8="","",INDEX(INDIRECT($B$1&amp;"!$L$1:$L$100"),MATCH($E8,INDIRECT($B$1&amp;"!$A$1:$A$100"),0)))</f>
        <v>0.001388888888888889</v>
      </c>
      <c r="E8" s="129">
        <f ca="1">IF(E7="","",IF(ISNA(MATCH($E7+1,INDIRECT($B$1&amp;"!$A$1:$A$100"),0)),"",E7+1))</f>
        <v>2</v>
      </c>
      <c r="F8" s="127" t="str">
        <f ca="1">IF($E8="","",INDEX(INDIRECT($B$1&amp;"!$B$1:$B$100"),MATCH($E8,INDIRECT($B$1&amp;"!$A$1:$A$100"),0)))</f>
        <v>John</v>
      </c>
      <c r="G8" s="127" t="str">
        <f ca="1">IF($E8="","",INDEX(INDIRECT($B$1&amp;"!$d$1:$d$100"),MATCH($E8,INDIRECT($B$1&amp;"!$A$1:$A$100"),0)))</f>
        <v>Geoff</v>
      </c>
      <c r="H8" s="127" t="str">
        <f ca="1">IF($E8="","",INDEX(INDIRECT($B$1&amp;"!$f$1:$f$100"),MATCH($E8,INDIRECT($B$1&amp;"!$A$1:$A$100"),0)))</f>
        <v>Karl</v>
      </c>
      <c r="I8" s="127" t="str">
        <f ca="1">IF($E8="","",INDEX(INDIRECT($B$1&amp;"!$h$1:$h$100"),MATCH($E8,INDIRECT($B$1&amp;"!$A$1:$A$100"),0)))</f>
        <v>empty</v>
      </c>
      <c r="J8" s="128"/>
      <c r="K8" s="127" t="str">
        <f>F8</f>
        <v>John</v>
      </c>
      <c r="L8" s="128">
        <f ca="1">IF($E8="","",INDEX(INDIRECT($B$1&amp;"!$M$1:$M$100"),MATCH(K8,INDIRECT($B$1&amp;"!$O$1:$O$100"),0)))</f>
        <v>150</v>
      </c>
      <c r="N8" s="128" t="str">
        <f ca="1" t="shared" si="0"/>
        <v>Consistency</v>
      </c>
      <c r="O8" s="128" t="str">
        <f ca="1" t="shared" si="0"/>
        <v>Speed</v>
      </c>
      <c r="P8" s="128" t="str">
        <f ca="1" t="shared" si="0"/>
        <v>Speed</v>
      </c>
      <c r="Q8" s="128" t="str">
        <f ca="1" t="shared" si="0"/>
        <v>n/a</v>
      </c>
    </row>
    <row r="9" spans="1:17" ht="12.75">
      <c r="A9" t="s">
        <v>71</v>
      </c>
      <c r="B9" s="116">
        <v>0.00011574074074074073</v>
      </c>
      <c r="C9" s="137">
        <f ca="1" t="shared" si="1"/>
        <v>0.001388888888888889</v>
      </c>
      <c r="E9" s="129">
        <f aca="true" ca="1" t="shared" si="2" ref="E9:E56">IF(E8="","",IF(ISNA(MATCH($E8+1,INDIRECT($B$1&amp;"!$A$1:$A$100"),0)),"",E8+1))</f>
        <v>3</v>
      </c>
      <c r="F9" s="127" t="str">
        <f aca="true" ca="1" t="shared" si="3" ref="F9:F56">IF($E9="","",INDEX(INDIRECT($B$1&amp;"!$B$1:$B$100"),MATCH($E9,INDIRECT($B$1&amp;"!$A$1:$A$100"),0)))</f>
        <v>Geoff</v>
      </c>
      <c r="G9" s="127" t="str">
        <f aca="true" ca="1" t="shared" si="4" ref="G9:G56">IF($E9="","",INDEX(INDIRECT($B$1&amp;"!$d$1:$d$100"),MATCH($E9,INDIRECT($B$1&amp;"!$A$1:$A$100"),0)))</f>
        <v>empty</v>
      </c>
      <c r="H9" s="127" t="str">
        <f aca="true" ca="1" t="shared" si="5" ref="H9:H56">IF($E9="","",INDEX(INDIRECT($B$1&amp;"!$f$1:$f$100"),MATCH($E9,INDIRECT($B$1&amp;"!$A$1:$A$100"),0)))</f>
        <v>John</v>
      </c>
      <c r="I9" s="127" t="str">
        <f aca="true" ca="1" t="shared" si="6" ref="I9:I56">IF($E9="","",INDEX(INDIRECT($B$1&amp;"!$h$1:$h$100"),MATCH($E9,INDIRECT($B$1&amp;"!$A$1:$A$100"),0)))</f>
        <v>Karl</v>
      </c>
      <c r="J9" s="128"/>
      <c r="K9" s="127" t="str">
        <f aca="true" t="shared" si="7" ref="K9:K56">F9</f>
        <v>Geoff</v>
      </c>
      <c r="L9" s="128">
        <f aca="true" ca="1" t="shared" si="8" ref="L9:L56">IF($E9="","",INDEX(INDIRECT($B$1&amp;"!$M$1:$M$100"),MATCH(K9,INDIRECT($B$1&amp;"!$O$1:$O$100"),0)))</f>
      </c>
      <c r="N9" s="128" t="str">
        <f aca="true" ca="1" t="shared" si="9" ref="N9:N56">IF($E9="","",INDEX(INDIRECT($B$1&amp;"!$N$1:$N$100"),MATCH(F9,INDIRECT($B$1&amp;"!$O$1:$O$100"),0)))</f>
        <v>Speed</v>
      </c>
      <c r="O9" s="128" t="str">
        <f aca="true" ca="1" t="shared" si="10" ref="O9:O56">IF($E9="","",INDEX(INDIRECT($B$1&amp;"!$N$1:$N$100"),MATCH(G9,INDIRECT($B$1&amp;"!$O$1:$O$100"),0)))</f>
        <v>n/a</v>
      </c>
      <c r="P9" s="128" t="str">
        <f aca="true" ca="1" t="shared" si="11" ref="P9:P56">IF($E9="","",INDEX(INDIRECT($B$1&amp;"!$N$1:$N$100"),MATCH(H9,INDIRECT($B$1&amp;"!$O$1:$O$100"),0)))</f>
        <v>Consistency</v>
      </c>
      <c r="Q9" s="128" t="str">
        <f aca="true" ca="1" t="shared" si="12" ref="Q9:Q56">IF($E9="","",INDEX(INDIRECT($B$1&amp;"!$N$1:$N$100"),MATCH(I9,INDIRECT($B$1&amp;"!$O$1:$O$100"),0)))</f>
        <v>Speed</v>
      </c>
    </row>
    <row r="10" spans="3:17" ht="12.75">
      <c r="C10" s="137">
        <f ca="1" t="shared" si="1"/>
        <v>0.001388888888888889</v>
      </c>
      <c r="E10" s="129">
        <f ca="1" t="shared" si="2"/>
        <v>4</v>
      </c>
      <c r="F10" s="127" t="str">
        <f ca="1" t="shared" si="3"/>
        <v>empty</v>
      </c>
      <c r="G10" s="127" t="str">
        <f ca="1" t="shared" si="4"/>
        <v>Karl</v>
      </c>
      <c r="H10" s="127" t="str">
        <f ca="1" t="shared" si="5"/>
        <v>Geoff</v>
      </c>
      <c r="I10" s="127" t="str">
        <f ca="1" t="shared" si="6"/>
        <v>John</v>
      </c>
      <c r="J10" s="128"/>
      <c r="K10" s="142" t="str">
        <f t="shared" si="7"/>
        <v>empty</v>
      </c>
      <c r="L10" s="128">
        <f ca="1" t="shared" si="8"/>
      </c>
      <c r="N10" s="128" t="str">
        <f ca="1" t="shared" si="9"/>
        <v>n/a</v>
      </c>
      <c r="O10" s="128" t="str">
        <f ca="1" t="shared" si="10"/>
        <v>Speed</v>
      </c>
      <c r="P10" s="128" t="str">
        <f ca="1" t="shared" si="11"/>
        <v>Speed</v>
      </c>
      <c r="Q10" s="128" t="str">
        <f ca="1" t="shared" si="12"/>
        <v>Consistency</v>
      </c>
    </row>
    <row r="11" spans="1:17" ht="12.75">
      <c r="A11" s="121" t="s">
        <v>73</v>
      </c>
      <c r="B11" s="117" t="b">
        <v>1</v>
      </c>
      <c r="C11" s="137">
        <f ca="1" t="shared" si="1"/>
        <v>0.001388888888888889</v>
      </c>
      <c r="E11" s="129">
        <f ca="1" t="shared" si="2"/>
        <v>5</v>
      </c>
      <c r="F11" s="127" t="str">
        <f ca="1" t="shared" si="3"/>
        <v>empty</v>
      </c>
      <c r="G11" s="127" t="str">
        <f ca="1" t="shared" si="4"/>
        <v>Garth</v>
      </c>
      <c r="H11" s="127" t="str">
        <f ca="1" t="shared" si="5"/>
        <v>Richard</v>
      </c>
      <c r="I11" s="127" t="str">
        <f ca="1" t="shared" si="6"/>
        <v>Tracey</v>
      </c>
      <c r="J11" s="128"/>
      <c r="K11" s="127" t="str">
        <f t="shared" si="7"/>
        <v>empty</v>
      </c>
      <c r="L11" s="128">
        <f ca="1" t="shared" si="8"/>
      </c>
      <c r="N11" s="128" t="str">
        <f ca="1" t="shared" si="9"/>
        <v>n/a</v>
      </c>
      <c r="O11" s="128" t="str">
        <f ca="1" t="shared" si="10"/>
        <v>Consistency</v>
      </c>
      <c r="P11" s="128" t="str">
        <f ca="1" t="shared" si="11"/>
        <v>Consistency</v>
      </c>
      <c r="Q11" s="128" t="str">
        <f ca="1" t="shared" si="12"/>
        <v>Speed</v>
      </c>
    </row>
    <row r="12" spans="2:17" ht="12.75">
      <c r="B12" s="117" t="b">
        <v>1</v>
      </c>
      <c r="C12" s="137">
        <f ca="1" t="shared" si="1"/>
        <v>0.001388888888888889</v>
      </c>
      <c r="D12" s="132"/>
      <c r="E12" s="129">
        <f ca="1" t="shared" si="2"/>
        <v>6</v>
      </c>
      <c r="F12" s="127" t="str">
        <f ca="1" t="shared" si="3"/>
        <v>Garth</v>
      </c>
      <c r="G12" s="127" t="str">
        <f ca="1" t="shared" si="4"/>
        <v>Tracey</v>
      </c>
      <c r="H12" s="127" t="str">
        <f ca="1" t="shared" si="5"/>
        <v>empty</v>
      </c>
      <c r="I12" s="127" t="str">
        <f ca="1" t="shared" si="6"/>
        <v>Richard</v>
      </c>
      <c r="J12" s="128"/>
      <c r="K12" s="127" t="str">
        <f t="shared" si="7"/>
        <v>Garth</v>
      </c>
      <c r="L12" s="128">
        <f ca="1" t="shared" si="8"/>
        <v>140</v>
      </c>
      <c r="N12" s="128" t="str">
        <f ca="1" t="shared" si="9"/>
        <v>Consistency</v>
      </c>
      <c r="O12" s="128" t="str">
        <f ca="1" t="shared" si="10"/>
        <v>Speed</v>
      </c>
      <c r="P12" s="128" t="str">
        <f ca="1" t="shared" si="11"/>
        <v>n/a</v>
      </c>
      <c r="Q12" s="128" t="str">
        <f ca="1" t="shared" si="12"/>
        <v>Consistency</v>
      </c>
    </row>
    <row r="13" spans="2:17" ht="12.75">
      <c r="B13" t="b">
        <v>1</v>
      </c>
      <c r="C13" s="137">
        <f ca="1" t="shared" si="1"/>
        <v>0.001388888888888889</v>
      </c>
      <c r="D13" s="132"/>
      <c r="E13" s="129">
        <f ca="1" t="shared" si="2"/>
        <v>7</v>
      </c>
      <c r="F13" s="127" t="str">
        <f ca="1" t="shared" si="3"/>
        <v>Tracey</v>
      </c>
      <c r="G13" s="127" t="str">
        <f ca="1" t="shared" si="4"/>
        <v>Richard</v>
      </c>
      <c r="H13" s="127" t="str">
        <f ca="1" t="shared" si="5"/>
        <v>Garth</v>
      </c>
      <c r="I13" s="127" t="str">
        <f ca="1" t="shared" si="6"/>
        <v>empty</v>
      </c>
      <c r="J13" s="128"/>
      <c r="K13" s="127" t="str">
        <f t="shared" si="7"/>
        <v>Tracey</v>
      </c>
      <c r="L13" s="128">
        <f ca="1" t="shared" si="8"/>
      </c>
      <c r="N13" s="128" t="str">
        <f ca="1" t="shared" si="9"/>
        <v>Speed</v>
      </c>
      <c r="O13" s="128" t="str">
        <f ca="1" t="shared" si="10"/>
        <v>Consistency</v>
      </c>
      <c r="P13" s="128" t="str">
        <f ca="1" t="shared" si="11"/>
        <v>Consistency</v>
      </c>
      <c r="Q13" s="128" t="str">
        <f ca="1" t="shared" si="12"/>
        <v>n/a</v>
      </c>
    </row>
    <row r="14" spans="2:17" ht="12.75">
      <c r="B14" t="b">
        <v>1</v>
      </c>
      <c r="C14" s="137">
        <f ca="1" t="shared" si="1"/>
        <v>0.001388888888888889</v>
      </c>
      <c r="D14" s="132"/>
      <c r="E14" s="129">
        <f ca="1" t="shared" si="2"/>
        <v>8</v>
      </c>
      <c r="F14" s="127" t="str">
        <f ca="1" t="shared" si="3"/>
        <v>Richard</v>
      </c>
      <c r="G14" s="127" t="str">
        <f ca="1" t="shared" si="4"/>
        <v>empty</v>
      </c>
      <c r="H14" s="127" t="str">
        <f ca="1" t="shared" si="5"/>
        <v>Tracey</v>
      </c>
      <c r="I14" s="127" t="str">
        <f ca="1" t="shared" si="6"/>
        <v>Garth</v>
      </c>
      <c r="J14" s="128"/>
      <c r="K14" s="127" t="str">
        <f t="shared" si="7"/>
        <v>Richard</v>
      </c>
      <c r="L14" s="128">
        <f ca="1" t="shared" si="8"/>
        <v>126</v>
      </c>
      <c r="N14" s="128" t="str">
        <f ca="1" t="shared" si="9"/>
        <v>Consistency</v>
      </c>
      <c r="O14" s="128" t="str">
        <f ca="1" t="shared" si="10"/>
        <v>n/a</v>
      </c>
      <c r="P14" s="128" t="str">
        <f ca="1" t="shared" si="11"/>
        <v>Speed</v>
      </c>
      <c r="Q14" s="128" t="str">
        <f ca="1" t="shared" si="12"/>
        <v>Consistency</v>
      </c>
    </row>
    <row r="15" spans="2:17" ht="12.75">
      <c r="B15" t="b">
        <v>0</v>
      </c>
      <c r="C15" s="137">
        <f ca="1" t="shared" si="1"/>
        <v>0.001388888888888889</v>
      </c>
      <c r="D15" s="132"/>
      <c r="E15" s="129">
        <f ca="1" t="shared" si="2"/>
        <v>9</v>
      </c>
      <c r="F15" s="127" t="str">
        <f ca="1" t="shared" si="3"/>
        <v>empty</v>
      </c>
      <c r="G15" s="127" t="str">
        <f ca="1" t="shared" si="4"/>
        <v>Barry</v>
      </c>
      <c r="H15" s="127" t="str">
        <f ca="1" t="shared" si="5"/>
        <v>Matelen</v>
      </c>
      <c r="I15" s="127" t="str">
        <f ca="1" t="shared" si="6"/>
        <v>Kev</v>
      </c>
      <c r="J15" s="128"/>
      <c r="K15" s="127" t="str">
        <f t="shared" si="7"/>
        <v>empty</v>
      </c>
      <c r="L15" s="128">
        <f ca="1" t="shared" si="8"/>
      </c>
      <c r="N15" s="128" t="str">
        <f ca="1" t="shared" si="9"/>
        <v>n/a</v>
      </c>
      <c r="O15" s="128" t="str">
        <f ca="1" t="shared" si="10"/>
        <v>Consistency</v>
      </c>
      <c r="P15" s="128" t="str">
        <f ca="1" t="shared" si="11"/>
        <v>Consistency</v>
      </c>
      <c r="Q15" s="128" t="str">
        <f ca="1" t="shared" si="12"/>
        <v>Consistency</v>
      </c>
    </row>
    <row r="16" spans="3:17" ht="12.75">
      <c r="C16" s="137">
        <f ca="1" t="shared" si="1"/>
        <v>0.001388888888888889</v>
      </c>
      <c r="D16" s="132"/>
      <c r="E16" s="129">
        <f ca="1" t="shared" si="2"/>
        <v>10</v>
      </c>
      <c r="F16" s="127" t="str">
        <f ca="1" t="shared" si="3"/>
        <v>Barry</v>
      </c>
      <c r="G16" s="127" t="str">
        <f ca="1" t="shared" si="4"/>
        <v>Kev</v>
      </c>
      <c r="H16" s="127" t="str">
        <f ca="1" t="shared" si="5"/>
        <v>empty</v>
      </c>
      <c r="I16" s="127" t="str">
        <f ca="1" t="shared" si="6"/>
        <v>Matelen</v>
      </c>
      <c r="J16" s="128"/>
      <c r="K16" s="127" t="str">
        <f t="shared" si="7"/>
        <v>Barry</v>
      </c>
      <c r="L16" s="128">
        <f ca="1" t="shared" si="8"/>
        <v>120</v>
      </c>
      <c r="N16" s="128" t="str">
        <f ca="1" t="shared" si="9"/>
        <v>Consistency</v>
      </c>
      <c r="O16" s="128" t="str">
        <f ca="1" t="shared" si="10"/>
        <v>Consistency</v>
      </c>
      <c r="P16" s="128" t="str">
        <f ca="1" t="shared" si="11"/>
        <v>n/a</v>
      </c>
      <c r="Q16" s="128" t="str">
        <f ca="1" t="shared" si="12"/>
        <v>Consistency</v>
      </c>
    </row>
    <row r="17" spans="1:17" ht="12.75">
      <c r="A17" t="s">
        <v>95</v>
      </c>
      <c r="B17" t="str">
        <f ca="1">INDIRECT("F"&amp;$B$3+6)</f>
        <v>empty</v>
      </c>
      <c r="C17" s="137">
        <f ca="1" t="shared" si="1"/>
        <v>0.001388888888888889</v>
      </c>
      <c r="D17" s="132"/>
      <c r="E17" s="129">
        <f ca="1" t="shared" si="2"/>
        <v>11</v>
      </c>
      <c r="F17" s="127" t="str">
        <f ca="1" t="shared" si="3"/>
        <v>Kev</v>
      </c>
      <c r="G17" s="127" t="str">
        <f ca="1" t="shared" si="4"/>
        <v>Matelen</v>
      </c>
      <c r="H17" s="127" t="str">
        <f ca="1" t="shared" si="5"/>
        <v>Barry</v>
      </c>
      <c r="I17" s="127" t="str">
        <f ca="1" t="shared" si="6"/>
        <v>empty</v>
      </c>
      <c r="J17" s="128"/>
      <c r="K17" s="127" t="str">
        <f t="shared" si="7"/>
        <v>Kev</v>
      </c>
      <c r="L17" s="128">
        <f ca="1" t="shared" si="8"/>
        <v>120</v>
      </c>
      <c r="N17" s="128" t="str">
        <f ca="1" t="shared" si="9"/>
        <v>Consistency</v>
      </c>
      <c r="O17" s="128" t="str">
        <f ca="1" t="shared" si="10"/>
        <v>Consistency</v>
      </c>
      <c r="P17" s="128" t="str">
        <f ca="1" t="shared" si="11"/>
        <v>Consistency</v>
      </c>
      <c r="Q17" s="128" t="str">
        <f ca="1" t="shared" si="12"/>
        <v>n/a</v>
      </c>
    </row>
    <row r="18" spans="2:17" ht="12.75">
      <c r="B18" t="str">
        <f ca="1">INDIRECT("G"&amp;$B$3+6)</f>
        <v>Garth</v>
      </c>
      <c r="C18" s="137">
        <f ca="1" t="shared" si="1"/>
        <v>0.001388888888888889</v>
      </c>
      <c r="D18" s="132"/>
      <c r="E18" s="129">
        <f ca="1" t="shared" si="2"/>
        <v>12</v>
      </c>
      <c r="F18" s="127" t="str">
        <f ca="1" t="shared" si="3"/>
        <v>Matelen</v>
      </c>
      <c r="G18" s="127" t="str">
        <f ca="1" t="shared" si="4"/>
        <v>empty</v>
      </c>
      <c r="H18" s="127" t="str">
        <f ca="1" t="shared" si="5"/>
        <v>Kev</v>
      </c>
      <c r="I18" s="127" t="str">
        <f ca="1" t="shared" si="6"/>
        <v>Barry</v>
      </c>
      <c r="J18" s="128"/>
      <c r="K18" s="127" t="str">
        <f t="shared" si="7"/>
        <v>Matelen</v>
      </c>
      <c r="L18" s="128">
        <f ca="1" t="shared" si="8"/>
        <v>128</v>
      </c>
      <c r="N18" s="128" t="str">
        <f ca="1" t="shared" si="9"/>
        <v>Consistency</v>
      </c>
      <c r="O18" s="128" t="str">
        <f ca="1" t="shared" si="10"/>
        <v>n/a</v>
      </c>
      <c r="P18" s="128" t="str">
        <f ca="1" t="shared" si="11"/>
        <v>Consistency</v>
      </c>
      <c r="Q18" s="128" t="str">
        <f ca="1" t="shared" si="12"/>
        <v>Consistency</v>
      </c>
    </row>
    <row r="19" spans="2:17" ht="12.75">
      <c r="B19" t="str">
        <f ca="1">INDIRECT("H"&amp;$B$3+6)</f>
        <v>Richard</v>
      </c>
      <c r="C19" s="137">
        <f ca="1" t="shared" si="1"/>
      </c>
      <c r="D19" s="132"/>
      <c r="E19" s="129">
        <f ca="1" t="shared" si="2"/>
      </c>
      <c r="F19" s="127">
        <f ca="1" t="shared" si="3"/>
      </c>
      <c r="G19" s="127">
        <f ca="1" t="shared" si="4"/>
      </c>
      <c r="H19" s="127">
        <f ca="1" t="shared" si="5"/>
      </c>
      <c r="I19" s="127">
        <f ca="1" t="shared" si="6"/>
      </c>
      <c r="J19" s="128"/>
      <c r="K19" s="127">
        <f t="shared" si="7"/>
      </c>
      <c r="L19" s="128">
        <f ca="1" t="shared" si="8"/>
      </c>
      <c r="N19" s="128">
        <f ca="1" t="shared" si="9"/>
      </c>
      <c r="O19" s="128">
        <f ca="1" t="shared" si="10"/>
      </c>
      <c r="P19" s="128">
        <f ca="1" t="shared" si="11"/>
      </c>
      <c r="Q19" s="128">
        <f ca="1" t="shared" si="12"/>
      </c>
    </row>
    <row r="20" spans="2:17" ht="12.75">
      <c r="B20" t="str">
        <f ca="1">INDIRECT("I"&amp;$B$3+6)</f>
        <v>Tracey</v>
      </c>
      <c r="C20" s="137">
        <f ca="1" t="shared" si="1"/>
      </c>
      <c r="D20" s="132"/>
      <c r="E20" s="129">
        <f ca="1" t="shared" si="2"/>
      </c>
      <c r="F20" s="127">
        <f ca="1" t="shared" si="3"/>
      </c>
      <c r="G20" s="127">
        <f ca="1" t="shared" si="4"/>
      </c>
      <c r="H20" s="127">
        <f ca="1" t="shared" si="5"/>
      </c>
      <c r="I20" s="127">
        <f ca="1" t="shared" si="6"/>
      </c>
      <c r="J20" s="128"/>
      <c r="K20" s="127">
        <f t="shared" si="7"/>
      </c>
      <c r="L20" s="128">
        <f ca="1" t="shared" si="8"/>
      </c>
      <c r="N20" s="128">
        <f ca="1" t="shared" si="9"/>
      </c>
      <c r="O20" s="128">
        <f ca="1" t="shared" si="10"/>
      </c>
      <c r="P20" s="128">
        <f ca="1" t="shared" si="11"/>
      </c>
      <c r="Q20" s="128">
        <f ca="1" t="shared" si="12"/>
      </c>
    </row>
    <row r="21" spans="1:17" ht="12.75">
      <c r="A21" t="s">
        <v>96</v>
      </c>
      <c r="B21" t="str">
        <f ca="1">INDIRECT("F"&amp;$B$3+7)</f>
        <v>Garth</v>
      </c>
      <c r="C21" s="137">
        <f ca="1" t="shared" si="1"/>
      </c>
      <c r="D21" s="132"/>
      <c r="E21" s="129">
        <f ca="1" t="shared" si="2"/>
      </c>
      <c r="F21" s="127">
        <f ca="1" t="shared" si="3"/>
      </c>
      <c r="G21" s="127">
        <f ca="1" t="shared" si="4"/>
      </c>
      <c r="H21" s="127">
        <f ca="1" t="shared" si="5"/>
      </c>
      <c r="I21" s="127">
        <f ca="1" t="shared" si="6"/>
      </c>
      <c r="J21" s="128"/>
      <c r="K21" s="127">
        <f t="shared" si="7"/>
      </c>
      <c r="L21" s="128">
        <f ca="1" t="shared" si="8"/>
      </c>
      <c r="N21" s="128">
        <f ca="1" t="shared" si="9"/>
      </c>
      <c r="O21" s="128">
        <f ca="1" t="shared" si="10"/>
      </c>
      <c r="P21" s="128">
        <f ca="1" t="shared" si="11"/>
      </c>
      <c r="Q21" s="128">
        <f ca="1" t="shared" si="12"/>
      </c>
    </row>
    <row r="22" spans="2:17" ht="12.75">
      <c r="B22" t="str">
        <f ca="1">INDIRECT("G"&amp;$B$3+7)</f>
        <v>Tracey</v>
      </c>
      <c r="C22" s="137">
        <f ca="1" t="shared" si="1"/>
      </c>
      <c r="D22" s="132"/>
      <c r="E22" s="129">
        <f ca="1" t="shared" si="2"/>
      </c>
      <c r="F22" s="127">
        <f ca="1" t="shared" si="3"/>
      </c>
      <c r="G22" s="127">
        <f ca="1" t="shared" si="4"/>
      </c>
      <c r="H22" s="127">
        <f ca="1" t="shared" si="5"/>
      </c>
      <c r="I22" s="127">
        <f ca="1" t="shared" si="6"/>
      </c>
      <c r="J22" s="128"/>
      <c r="K22" s="127">
        <f t="shared" si="7"/>
      </c>
      <c r="L22" s="128">
        <f ca="1" t="shared" si="8"/>
      </c>
      <c r="N22" s="128">
        <f ca="1" t="shared" si="9"/>
      </c>
      <c r="O22" s="128">
        <f ca="1" t="shared" si="10"/>
      </c>
      <c r="P22" s="128">
        <f ca="1" t="shared" si="11"/>
      </c>
      <c r="Q22" s="128">
        <f ca="1" t="shared" si="12"/>
      </c>
    </row>
    <row r="23" spans="2:17" ht="12.75">
      <c r="B23" t="str">
        <f ca="1">INDIRECT("H"&amp;$B$3+7)</f>
        <v>empty</v>
      </c>
      <c r="C23" s="137">
        <f ca="1" t="shared" si="1"/>
      </c>
      <c r="D23" s="132"/>
      <c r="E23" s="129">
        <f ca="1" t="shared" si="2"/>
      </c>
      <c r="F23" s="127">
        <f ca="1" t="shared" si="3"/>
      </c>
      <c r="G23" s="127">
        <f ca="1" t="shared" si="4"/>
      </c>
      <c r="H23" s="127">
        <f ca="1" t="shared" si="5"/>
      </c>
      <c r="I23" s="127">
        <f ca="1" t="shared" si="6"/>
      </c>
      <c r="J23" s="128"/>
      <c r="K23" s="127">
        <f t="shared" si="7"/>
      </c>
      <c r="L23" s="128">
        <f ca="1" t="shared" si="8"/>
      </c>
      <c r="N23" s="128">
        <f ca="1" t="shared" si="9"/>
      </c>
      <c r="O23" s="128">
        <f ca="1" t="shared" si="10"/>
      </c>
      <c r="P23" s="128">
        <f ca="1" t="shared" si="11"/>
      </c>
      <c r="Q23" s="128">
        <f ca="1" t="shared" si="12"/>
      </c>
    </row>
    <row r="24" spans="2:17" ht="12.75">
      <c r="B24" t="str">
        <f ca="1">INDIRECT("I"&amp;$B$3+7)</f>
        <v>Richard</v>
      </c>
      <c r="C24" s="137">
        <f ca="1" t="shared" si="1"/>
      </c>
      <c r="D24" s="132"/>
      <c r="E24" s="129">
        <f ca="1" t="shared" si="2"/>
      </c>
      <c r="F24" s="127">
        <f ca="1" t="shared" si="3"/>
      </c>
      <c r="G24" s="127">
        <f ca="1" t="shared" si="4"/>
      </c>
      <c r="H24" s="127">
        <f ca="1" t="shared" si="5"/>
      </c>
      <c r="I24" s="127">
        <f ca="1" t="shared" si="6"/>
      </c>
      <c r="J24" s="128"/>
      <c r="K24" s="127">
        <f t="shared" si="7"/>
      </c>
      <c r="L24" s="128">
        <f ca="1" t="shared" si="8"/>
      </c>
      <c r="N24" s="128">
        <f ca="1" t="shared" si="9"/>
      </c>
      <c r="O24" s="128">
        <f ca="1" t="shared" si="10"/>
      </c>
      <c r="P24" s="128">
        <f ca="1" t="shared" si="11"/>
      </c>
      <c r="Q24" s="128">
        <f ca="1" t="shared" si="12"/>
      </c>
    </row>
    <row r="25" spans="1:17" ht="12.75">
      <c r="A25" t="s">
        <v>97</v>
      </c>
      <c r="B25" s="144" t="str">
        <f ca="1">IF(B$1="Stock",IF(INDIRECT("N"&amp;$B$3+6)="","",MINUTE(INDIRECT("N"&amp;$B$3+6))&amp;":"&amp;SECOND(INDIRECT("N"&amp;$B$3+6))),INDIRECT("N"&amp;$B$3+6))</f>
        <v>n/a</v>
      </c>
      <c r="C25" s="137">
        <f ca="1" t="shared" si="1"/>
      </c>
      <c r="D25" s="132"/>
      <c r="E25" s="129">
        <f ca="1" t="shared" si="2"/>
      </c>
      <c r="F25" s="127">
        <f ca="1" t="shared" si="3"/>
      </c>
      <c r="G25" s="127">
        <f ca="1" t="shared" si="4"/>
      </c>
      <c r="H25" s="127">
        <f ca="1" t="shared" si="5"/>
      </c>
      <c r="I25" s="127">
        <f ca="1" t="shared" si="6"/>
      </c>
      <c r="J25" s="128"/>
      <c r="K25" s="127">
        <f t="shared" si="7"/>
      </c>
      <c r="L25" s="128">
        <f ca="1" t="shared" si="8"/>
      </c>
      <c r="N25" s="128">
        <f ca="1" t="shared" si="9"/>
      </c>
      <c r="O25" s="128">
        <f ca="1" t="shared" si="10"/>
      </c>
      <c r="P25" s="128">
        <f ca="1" t="shared" si="11"/>
      </c>
      <c r="Q25" s="128">
        <f ca="1" t="shared" si="12"/>
      </c>
    </row>
    <row r="26" spans="2:17" ht="12.75">
      <c r="B26" s="144" t="str">
        <f ca="1">IF(B$1="Stock",IF(INDIRECT("O"&amp;$B$3+6)="","",MINUTE(INDIRECT("O"&amp;$B$3+6))&amp;":"&amp;SECOND(INDIRECT("O"&amp;$B$3+6))),INDIRECT("O"&amp;$B$3+6))</f>
        <v>Consistency</v>
      </c>
      <c r="C26" s="137">
        <f ca="1" t="shared" si="1"/>
      </c>
      <c r="D26" s="132"/>
      <c r="E26" s="129">
        <f ca="1" t="shared" si="2"/>
      </c>
      <c r="F26" s="127">
        <f ca="1" t="shared" si="3"/>
      </c>
      <c r="G26" s="127">
        <f ca="1" t="shared" si="4"/>
      </c>
      <c r="H26" s="127">
        <f ca="1" t="shared" si="5"/>
      </c>
      <c r="I26" s="127">
        <f ca="1" t="shared" si="6"/>
      </c>
      <c r="J26" s="128"/>
      <c r="K26" s="127">
        <f t="shared" si="7"/>
      </c>
      <c r="L26" s="128">
        <f ca="1" t="shared" si="8"/>
      </c>
      <c r="N26" s="128">
        <f ca="1" t="shared" si="9"/>
      </c>
      <c r="O26" s="128">
        <f ca="1" t="shared" si="10"/>
      </c>
      <c r="P26" s="128">
        <f ca="1" t="shared" si="11"/>
      </c>
      <c r="Q26" s="128">
        <f ca="1" t="shared" si="12"/>
      </c>
    </row>
    <row r="27" spans="2:17" ht="12.75">
      <c r="B27" s="144" t="str">
        <f ca="1">IF(B$1="Stock",IF(INDIRECT("P"&amp;$B$3+6)="","",MINUTE(INDIRECT("P"&amp;$B$3+6))&amp;":"&amp;SECOND(INDIRECT("P"&amp;$B$3+6))),INDIRECT("P"&amp;$B$3+6))</f>
        <v>Consistency</v>
      </c>
      <c r="C27" s="137">
        <f ca="1" t="shared" si="1"/>
      </c>
      <c r="D27" s="132"/>
      <c r="E27" s="129">
        <f ca="1" t="shared" si="2"/>
      </c>
      <c r="F27" s="127">
        <f ca="1" t="shared" si="3"/>
      </c>
      <c r="G27" s="127">
        <f ca="1" t="shared" si="4"/>
      </c>
      <c r="H27" s="127">
        <f ca="1" t="shared" si="5"/>
      </c>
      <c r="I27" s="127">
        <f ca="1" t="shared" si="6"/>
      </c>
      <c r="J27" s="128"/>
      <c r="K27" s="127">
        <f t="shared" si="7"/>
      </c>
      <c r="L27" s="128">
        <f ca="1" t="shared" si="8"/>
      </c>
      <c r="N27" s="128">
        <f ca="1" t="shared" si="9"/>
      </c>
      <c r="O27" s="128">
        <f ca="1" t="shared" si="10"/>
      </c>
      <c r="P27" s="128">
        <f ca="1" t="shared" si="11"/>
      </c>
      <c r="Q27" s="128">
        <f ca="1" t="shared" si="12"/>
      </c>
    </row>
    <row r="28" spans="2:17" ht="12.75">
      <c r="B28" s="144" t="str">
        <f ca="1">IF(B$1="Stock",IF(INDIRECT("Q"&amp;$B$3+6)="","",MINUTE(INDIRECT("Q"&amp;$B$3+6))&amp;":"&amp;SECOND(INDIRECT("Q"&amp;$B$3+6))),INDIRECT("Q"&amp;$B$3+6))</f>
        <v>Speed</v>
      </c>
      <c r="C28" s="137">
        <f ca="1" t="shared" si="1"/>
      </c>
      <c r="D28" s="132"/>
      <c r="E28" s="129">
        <f ca="1" t="shared" si="2"/>
      </c>
      <c r="F28" s="127">
        <f ca="1" t="shared" si="3"/>
      </c>
      <c r="G28" s="127">
        <f ca="1" t="shared" si="4"/>
      </c>
      <c r="H28" s="127">
        <f ca="1" t="shared" si="5"/>
      </c>
      <c r="I28" s="127">
        <f ca="1" t="shared" si="6"/>
      </c>
      <c r="J28" s="128"/>
      <c r="K28" s="127">
        <f t="shared" si="7"/>
      </c>
      <c r="L28" s="128">
        <f ca="1" t="shared" si="8"/>
      </c>
      <c r="N28" s="128">
        <f ca="1" t="shared" si="9"/>
      </c>
      <c r="O28" s="128">
        <f ca="1" t="shared" si="10"/>
      </c>
      <c r="P28" s="128">
        <f ca="1" t="shared" si="11"/>
      </c>
      <c r="Q28" s="128">
        <f ca="1" t="shared" si="12"/>
      </c>
    </row>
    <row r="29" spans="3:17" ht="12.75">
      <c r="C29" s="137">
        <f ca="1" t="shared" si="1"/>
      </c>
      <c r="D29" s="132"/>
      <c r="E29" s="129">
        <f ca="1" t="shared" si="2"/>
      </c>
      <c r="F29" s="127">
        <f ca="1" t="shared" si="3"/>
      </c>
      <c r="G29" s="127">
        <f ca="1" t="shared" si="4"/>
      </c>
      <c r="H29" s="127">
        <f ca="1" t="shared" si="5"/>
      </c>
      <c r="I29" s="127">
        <f ca="1" t="shared" si="6"/>
      </c>
      <c r="J29" s="128"/>
      <c r="K29" s="127">
        <f t="shared" si="7"/>
      </c>
      <c r="L29" s="128">
        <f ca="1" t="shared" si="8"/>
      </c>
      <c r="N29" s="128">
        <f ca="1" t="shared" si="9"/>
      </c>
      <c r="O29" s="128">
        <f ca="1" t="shared" si="10"/>
      </c>
      <c r="P29" s="128">
        <f ca="1" t="shared" si="11"/>
      </c>
      <c r="Q29" s="128">
        <f ca="1" t="shared" si="12"/>
      </c>
    </row>
    <row r="30" spans="3:17" ht="12.75">
      <c r="C30" s="137">
        <f ca="1" t="shared" si="1"/>
      </c>
      <c r="D30" s="132"/>
      <c r="E30" s="129">
        <f ca="1" t="shared" si="2"/>
      </c>
      <c r="F30" s="127">
        <f ca="1" t="shared" si="3"/>
      </c>
      <c r="G30" s="127">
        <f ca="1" t="shared" si="4"/>
      </c>
      <c r="H30" s="127">
        <f ca="1" t="shared" si="5"/>
      </c>
      <c r="I30" s="127">
        <f ca="1" t="shared" si="6"/>
      </c>
      <c r="J30" s="128"/>
      <c r="K30" s="127">
        <f t="shared" si="7"/>
      </c>
      <c r="L30" s="128">
        <f ca="1" t="shared" si="8"/>
      </c>
      <c r="N30" s="128">
        <f ca="1" t="shared" si="9"/>
      </c>
      <c r="O30" s="128">
        <f ca="1" t="shared" si="10"/>
      </c>
      <c r="P30" s="128">
        <f ca="1" t="shared" si="11"/>
      </c>
      <c r="Q30" s="128">
        <f ca="1" t="shared" si="12"/>
      </c>
    </row>
    <row r="31" spans="3:17" ht="12.75">
      <c r="C31" s="137">
        <f ca="1" t="shared" si="1"/>
      </c>
      <c r="D31" s="132"/>
      <c r="E31" s="129">
        <f ca="1" t="shared" si="2"/>
      </c>
      <c r="F31" s="127">
        <f ca="1" t="shared" si="3"/>
      </c>
      <c r="G31" s="127">
        <f ca="1" t="shared" si="4"/>
      </c>
      <c r="H31" s="127">
        <f ca="1" t="shared" si="5"/>
      </c>
      <c r="I31" s="127">
        <f ca="1" t="shared" si="6"/>
      </c>
      <c r="J31" s="128"/>
      <c r="K31" s="127">
        <f t="shared" si="7"/>
      </c>
      <c r="L31" s="128">
        <f ca="1" t="shared" si="8"/>
      </c>
      <c r="N31" s="128">
        <f ca="1" t="shared" si="9"/>
      </c>
      <c r="O31" s="128">
        <f ca="1" t="shared" si="10"/>
      </c>
      <c r="P31" s="128">
        <f ca="1" t="shared" si="11"/>
      </c>
      <c r="Q31" s="128">
        <f ca="1" t="shared" si="12"/>
      </c>
    </row>
    <row r="32" spans="3:17" ht="12.75">
      <c r="C32" s="137">
        <f ca="1" t="shared" si="1"/>
      </c>
      <c r="D32" s="132"/>
      <c r="E32" s="129">
        <f ca="1" t="shared" si="2"/>
      </c>
      <c r="F32" s="127">
        <f ca="1" t="shared" si="3"/>
      </c>
      <c r="G32" s="127">
        <f ca="1" t="shared" si="4"/>
      </c>
      <c r="H32" s="127">
        <f ca="1" t="shared" si="5"/>
      </c>
      <c r="I32" s="127">
        <f ca="1" t="shared" si="6"/>
      </c>
      <c r="J32" s="128"/>
      <c r="K32" s="127">
        <f t="shared" si="7"/>
      </c>
      <c r="L32" s="128">
        <f ca="1" t="shared" si="8"/>
      </c>
      <c r="N32" s="128">
        <f ca="1" t="shared" si="9"/>
      </c>
      <c r="O32" s="128">
        <f ca="1" t="shared" si="10"/>
      </c>
      <c r="P32" s="128">
        <f ca="1" t="shared" si="11"/>
      </c>
      <c r="Q32" s="128">
        <f ca="1" t="shared" si="12"/>
      </c>
    </row>
    <row r="33" spans="3:17" ht="12.75">
      <c r="C33" s="137">
        <f ca="1" t="shared" si="1"/>
      </c>
      <c r="D33" s="132"/>
      <c r="E33" s="129">
        <f ca="1" t="shared" si="2"/>
      </c>
      <c r="F33" s="127">
        <f ca="1" t="shared" si="3"/>
      </c>
      <c r="G33" s="127">
        <f ca="1" t="shared" si="4"/>
      </c>
      <c r="H33" s="127">
        <f ca="1" t="shared" si="5"/>
      </c>
      <c r="I33" s="127">
        <f ca="1" t="shared" si="6"/>
      </c>
      <c r="J33" s="128"/>
      <c r="K33" s="127">
        <f t="shared" si="7"/>
      </c>
      <c r="L33" s="128">
        <f ca="1" t="shared" si="8"/>
      </c>
      <c r="N33" s="128">
        <f ca="1" t="shared" si="9"/>
      </c>
      <c r="O33" s="128">
        <f ca="1" t="shared" si="10"/>
      </c>
      <c r="P33" s="128">
        <f ca="1" t="shared" si="11"/>
      </c>
      <c r="Q33" s="128">
        <f ca="1" t="shared" si="12"/>
      </c>
    </row>
    <row r="34" spans="3:17" ht="12.75">
      <c r="C34" s="137">
        <f ca="1" t="shared" si="1"/>
      </c>
      <c r="D34" s="132"/>
      <c r="E34" s="129">
        <f ca="1" t="shared" si="2"/>
      </c>
      <c r="F34" s="127">
        <f ca="1" t="shared" si="3"/>
      </c>
      <c r="G34" s="127">
        <f ca="1" t="shared" si="4"/>
      </c>
      <c r="H34" s="127">
        <f ca="1" t="shared" si="5"/>
      </c>
      <c r="I34" s="127">
        <f ca="1" t="shared" si="6"/>
      </c>
      <c r="J34" s="128"/>
      <c r="K34" s="127">
        <f t="shared" si="7"/>
      </c>
      <c r="L34" s="128">
        <f ca="1" t="shared" si="8"/>
      </c>
      <c r="N34" s="128">
        <f ca="1" t="shared" si="9"/>
      </c>
      <c r="O34" s="128">
        <f ca="1" t="shared" si="10"/>
      </c>
      <c r="P34" s="128">
        <f ca="1" t="shared" si="11"/>
      </c>
      <c r="Q34" s="128">
        <f ca="1" t="shared" si="12"/>
      </c>
    </row>
    <row r="35" spans="3:17" ht="12.75">
      <c r="C35" s="137">
        <f ca="1" t="shared" si="1"/>
      </c>
      <c r="D35" s="132"/>
      <c r="E35" s="129">
        <f ca="1" t="shared" si="2"/>
      </c>
      <c r="F35" s="127">
        <f ca="1" t="shared" si="3"/>
      </c>
      <c r="G35" s="127">
        <f ca="1" t="shared" si="4"/>
      </c>
      <c r="H35" s="127">
        <f ca="1" t="shared" si="5"/>
      </c>
      <c r="I35" s="127">
        <f ca="1" t="shared" si="6"/>
      </c>
      <c r="J35" s="128"/>
      <c r="K35" s="127">
        <f t="shared" si="7"/>
      </c>
      <c r="L35" s="128">
        <f ca="1" t="shared" si="8"/>
      </c>
      <c r="N35" s="128">
        <f ca="1" t="shared" si="9"/>
      </c>
      <c r="O35" s="128">
        <f ca="1" t="shared" si="10"/>
      </c>
      <c r="P35" s="128">
        <f ca="1" t="shared" si="11"/>
      </c>
      <c r="Q35" s="128">
        <f ca="1" t="shared" si="12"/>
      </c>
    </row>
    <row r="36" spans="3:17" ht="12.75">
      <c r="C36" s="137">
        <f ca="1" t="shared" si="1"/>
      </c>
      <c r="D36" s="132"/>
      <c r="E36" s="129">
        <f ca="1" t="shared" si="2"/>
      </c>
      <c r="F36" s="127">
        <f ca="1" t="shared" si="3"/>
      </c>
      <c r="G36" s="127">
        <f ca="1" t="shared" si="4"/>
      </c>
      <c r="H36" s="127">
        <f ca="1" t="shared" si="5"/>
      </c>
      <c r="I36" s="127">
        <f ca="1" t="shared" si="6"/>
      </c>
      <c r="J36" s="128"/>
      <c r="K36" s="127">
        <f t="shared" si="7"/>
      </c>
      <c r="L36" s="128">
        <f ca="1" t="shared" si="8"/>
      </c>
      <c r="N36" s="128">
        <f ca="1" t="shared" si="9"/>
      </c>
      <c r="O36" s="128">
        <f ca="1" t="shared" si="10"/>
      </c>
      <c r="P36" s="128">
        <f ca="1" t="shared" si="11"/>
      </c>
      <c r="Q36" s="128">
        <f ca="1" t="shared" si="12"/>
      </c>
    </row>
    <row r="37" spans="3:17" ht="12.75">
      <c r="C37" s="137">
        <f ca="1" t="shared" si="1"/>
      </c>
      <c r="D37" s="132"/>
      <c r="E37" s="129">
        <f ca="1" t="shared" si="2"/>
      </c>
      <c r="F37" s="127">
        <f ca="1" t="shared" si="3"/>
      </c>
      <c r="G37" s="127">
        <f ca="1" t="shared" si="4"/>
      </c>
      <c r="H37" s="127">
        <f ca="1" t="shared" si="5"/>
      </c>
      <c r="I37" s="127">
        <f ca="1" t="shared" si="6"/>
      </c>
      <c r="J37" s="128"/>
      <c r="K37" s="127">
        <f t="shared" si="7"/>
      </c>
      <c r="L37" s="128">
        <f ca="1" t="shared" si="8"/>
      </c>
      <c r="N37" s="128">
        <f ca="1" t="shared" si="9"/>
      </c>
      <c r="O37" s="128">
        <f ca="1" t="shared" si="10"/>
      </c>
      <c r="P37" s="128">
        <f ca="1" t="shared" si="11"/>
      </c>
      <c r="Q37" s="128">
        <f ca="1" t="shared" si="12"/>
      </c>
    </row>
    <row r="38" spans="3:17" ht="12.75">
      <c r="C38" s="137">
        <f ca="1" t="shared" si="1"/>
      </c>
      <c r="D38" s="132"/>
      <c r="E38" s="129">
        <f ca="1" t="shared" si="2"/>
      </c>
      <c r="F38" s="127">
        <f ca="1" t="shared" si="3"/>
      </c>
      <c r="G38" s="127">
        <f ca="1" t="shared" si="4"/>
      </c>
      <c r="H38" s="127">
        <f ca="1" t="shared" si="5"/>
      </c>
      <c r="I38" s="127">
        <f ca="1" t="shared" si="6"/>
      </c>
      <c r="J38" s="128"/>
      <c r="K38" s="127">
        <f t="shared" si="7"/>
      </c>
      <c r="L38" s="128">
        <f ca="1" t="shared" si="8"/>
      </c>
      <c r="N38" s="128">
        <f ca="1" t="shared" si="9"/>
      </c>
      <c r="O38" s="128">
        <f ca="1" t="shared" si="10"/>
      </c>
      <c r="P38" s="128">
        <f ca="1" t="shared" si="11"/>
      </c>
      <c r="Q38" s="128">
        <f ca="1" t="shared" si="12"/>
      </c>
    </row>
    <row r="39" spans="3:17" ht="12.75">
      <c r="C39" s="137">
        <f ca="1" t="shared" si="1"/>
      </c>
      <c r="D39" s="132"/>
      <c r="E39" s="129">
        <f ca="1" t="shared" si="2"/>
      </c>
      <c r="F39" s="127">
        <f ca="1" t="shared" si="3"/>
      </c>
      <c r="G39" s="127">
        <f ca="1" t="shared" si="4"/>
      </c>
      <c r="H39" s="127">
        <f ca="1" t="shared" si="5"/>
      </c>
      <c r="I39" s="127">
        <f ca="1" t="shared" si="6"/>
      </c>
      <c r="J39" s="128"/>
      <c r="K39" s="127">
        <f t="shared" si="7"/>
      </c>
      <c r="L39" s="128">
        <f ca="1" t="shared" si="8"/>
      </c>
      <c r="N39" s="128">
        <f ca="1" t="shared" si="9"/>
      </c>
      <c r="O39" s="128">
        <f ca="1" t="shared" si="10"/>
      </c>
      <c r="P39" s="128">
        <f ca="1" t="shared" si="11"/>
      </c>
      <c r="Q39" s="128">
        <f ca="1" t="shared" si="12"/>
      </c>
    </row>
    <row r="40" spans="3:17" ht="12.75">
      <c r="C40" s="137">
        <f ca="1" t="shared" si="1"/>
      </c>
      <c r="D40" s="132"/>
      <c r="E40" s="129">
        <f ca="1" t="shared" si="2"/>
      </c>
      <c r="F40" s="127">
        <f ca="1" t="shared" si="3"/>
      </c>
      <c r="G40" s="127">
        <f ca="1" t="shared" si="4"/>
      </c>
      <c r="H40" s="127">
        <f ca="1" t="shared" si="5"/>
      </c>
      <c r="I40" s="127">
        <f ca="1" t="shared" si="6"/>
      </c>
      <c r="J40" s="128"/>
      <c r="K40" s="127">
        <f t="shared" si="7"/>
      </c>
      <c r="L40" s="128">
        <f ca="1" t="shared" si="8"/>
      </c>
      <c r="N40" s="128">
        <f ca="1" t="shared" si="9"/>
      </c>
      <c r="O40" s="128">
        <f ca="1" t="shared" si="10"/>
      </c>
      <c r="P40" s="128">
        <f ca="1" t="shared" si="11"/>
      </c>
      <c r="Q40" s="128">
        <f ca="1" t="shared" si="12"/>
      </c>
    </row>
    <row r="41" spans="3:17" ht="12.75">
      <c r="C41" s="137">
        <f ca="1" t="shared" si="1"/>
      </c>
      <c r="D41" s="132"/>
      <c r="E41" s="129">
        <f ca="1" t="shared" si="2"/>
      </c>
      <c r="F41" s="127">
        <f ca="1" t="shared" si="3"/>
      </c>
      <c r="G41" s="127">
        <f ca="1" t="shared" si="4"/>
      </c>
      <c r="H41" s="127">
        <f ca="1" t="shared" si="5"/>
      </c>
      <c r="I41" s="127">
        <f ca="1" t="shared" si="6"/>
      </c>
      <c r="J41" s="128"/>
      <c r="K41" s="127">
        <f t="shared" si="7"/>
      </c>
      <c r="L41" s="128">
        <f ca="1" t="shared" si="8"/>
      </c>
      <c r="N41" s="128">
        <f ca="1" t="shared" si="9"/>
      </c>
      <c r="O41" s="128">
        <f ca="1" t="shared" si="10"/>
      </c>
      <c r="P41" s="128">
        <f ca="1" t="shared" si="11"/>
      </c>
      <c r="Q41" s="128">
        <f ca="1" t="shared" si="12"/>
      </c>
    </row>
    <row r="42" spans="3:17" ht="12.75">
      <c r="C42" s="137">
        <f ca="1" t="shared" si="1"/>
      </c>
      <c r="D42" s="132"/>
      <c r="E42" s="129">
        <f ca="1" t="shared" si="2"/>
      </c>
      <c r="F42" s="127">
        <f ca="1" t="shared" si="3"/>
      </c>
      <c r="G42" s="127">
        <f ca="1" t="shared" si="4"/>
      </c>
      <c r="H42" s="127">
        <f ca="1" t="shared" si="5"/>
      </c>
      <c r="I42" s="127">
        <f ca="1" t="shared" si="6"/>
      </c>
      <c r="J42" s="128"/>
      <c r="K42" s="128">
        <f t="shared" si="7"/>
      </c>
      <c r="L42" s="128">
        <f ca="1" t="shared" si="8"/>
      </c>
      <c r="N42" s="128">
        <f ca="1" t="shared" si="9"/>
      </c>
      <c r="O42" s="128">
        <f ca="1" t="shared" si="10"/>
      </c>
      <c r="P42" s="128">
        <f ca="1" t="shared" si="11"/>
      </c>
      <c r="Q42" s="128">
        <f ca="1" t="shared" si="12"/>
      </c>
    </row>
    <row r="43" spans="3:17" ht="12.75">
      <c r="C43" s="137">
        <f ca="1" t="shared" si="1"/>
      </c>
      <c r="D43" s="132"/>
      <c r="E43" s="129">
        <f ca="1" t="shared" si="2"/>
      </c>
      <c r="F43" s="127">
        <f ca="1" t="shared" si="3"/>
      </c>
      <c r="G43" s="127">
        <f ca="1" t="shared" si="4"/>
      </c>
      <c r="H43" s="127">
        <f ca="1" t="shared" si="5"/>
      </c>
      <c r="I43" s="127">
        <f ca="1" t="shared" si="6"/>
      </c>
      <c r="J43" s="128"/>
      <c r="K43" s="128">
        <f t="shared" si="7"/>
      </c>
      <c r="L43" s="128">
        <f ca="1" t="shared" si="8"/>
      </c>
      <c r="N43" s="128">
        <f ca="1" t="shared" si="9"/>
      </c>
      <c r="O43" s="128">
        <f ca="1" t="shared" si="10"/>
      </c>
      <c r="P43" s="128">
        <f ca="1" t="shared" si="11"/>
      </c>
      <c r="Q43" s="128">
        <f ca="1" t="shared" si="12"/>
      </c>
    </row>
    <row r="44" spans="3:17" ht="12.75">
      <c r="C44" s="137">
        <f ca="1" t="shared" si="1"/>
      </c>
      <c r="D44" s="132"/>
      <c r="E44" s="129">
        <f ca="1" t="shared" si="2"/>
      </c>
      <c r="F44" s="127">
        <f ca="1" t="shared" si="3"/>
      </c>
      <c r="G44" s="127">
        <f ca="1" t="shared" si="4"/>
      </c>
      <c r="H44" s="127">
        <f ca="1" t="shared" si="5"/>
      </c>
      <c r="I44" s="127">
        <f ca="1" t="shared" si="6"/>
      </c>
      <c r="J44" s="128"/>
      <c r="K44" s="128">
        <f t="shared" si="7"/>
      </c>
      <c r="L44" s="128">
        <f ca="1" t="shared" si="8"/>
      </c>
      <c r="N44" s="128">
        <f ca="1" t="shared" si="9"/>
      </c>
      <c r="O44" s="128">
        <f ca="1" t="shared" si="10"/>
      </c>
      <c r="P44" s="128">
        <f ca="1" t="shared" si="11"/>
      </c>
      <c r="Q44" s="128">
        <f ca="1" t="shared" si="12"/>
      </c>
    </row>
    <row r="45" spans="3:17" ht="12.75">
      <c r="C45" s="137">
        <f ca="1" t="shared" si="1"/>
      </c>
      <c r="D45" s="132"/>
      <c r="E45" s="129">
        <f ca="1" t="shared" si="2"/>
      </c>
      <c r="F45" s="127">
        <f ca="1" t="shared" si="3"/>
      </c>
      <c r="G45" s="127">
        <f ca="1" t="shared" si="4"/>
      </c>
      <c r="H45" s="127">
        <f ca="1" t="shared" si="5"/>
      </c>
      <c r="I45" s="127">
        <f ca="1" t="shared" si="6"/>
      </c>
      <c r="J45" s="128"/>
      <c r="K45" s="128">
        <f t="shared" si="7"/>
      </c>
      <c r="L45" s="128">
        <f ca="1" t="shared" si="8"/>
      </c>
      <c r="N45" s="128">
        <f ca="1" t="shared" si="9"/>
      </c>
      <c r="O45" s="128">
        <f ca="1" t="shared" si="10"/>
      </c>
      <c r="P45" s="128">
        <f ca="1" t="shared" si="11"/>
      </c>
      <c r="Q45" s="128">
        <f ca="1" t="shared" si="12"/>
      </c>
    </row>
    <row r="46" spans="3:17" ht="12.75">
      <c r="C46" s="137">
        <f ca="1" t="shared" si="1"/>
      </c>
      <c r="D46" s="132"/>
      <c r="E46" s="129">
        <f ca="1" t="shared" si="2"/>
      </c>
      <c r="F46" s="127">
        <f ca="1" t="shared" si="3"/>
      </c>
      <c r="G46" s="127">
        <f ca="1" t="shared" si="4"/>
      </c>
      <c r="H46" s="127">
        <f ca="1" t="shared" si="5"/>
      </c>
      <c r="I46" s="127">
        <f ca="1" t="shared" si="6"/>
      </c>
      <c r="J46" s="128"/>
      <c r="K46" s="128">
        <f t="shared" si="7"/>
      </c>
      <c r="L46" s="128">
        <f ca="1" t="shared" si="8"/>
      </c>
      <c r="N46" s="128">
        <f ca="1" t="shared" si="9"/>
      </c>
      <c r="O46" s="128">
        <f ca="1" t="shared" si="10"/>
      </c>
      <c r="P46" s="128">
        <f ca="1" t="shared" si="11"/>
      </c>
      <c r="Q46" s="128">
        <f ca="1" t="shared" si="12"/>
      </c>
    </row>
    <row r="47" spans="3:17" ht="12.75">
      <c r="C47" s="137">
        <f ca="1" t="shared" si="1"/>
      </c>
      <c r="D47" s="132"/>
      <c r="E47" s="129">
        <f ca="1" t="shared" si="2"/>
      </c>
      <c r="F47" s="127">
        <f ca="1" t="shared" si="3"/>
      </c>
      <c r="G47" s="127">
        <f ca="1" t="shared" si="4"/>
      </c>
      <c r="H47" s="127">
        <f ca="1" t="shared" si="5"/>
      </c>
      <c r="I47" s="127">
        <f ca="1" t="shared" si="6"/>
      </c>
      <c r="J47" s="128"/>
      <c r="K47" s="128">
        <f t="shared" si="7"/>
      </c>
      <c r="L47" s="128">
        <f ca="1" t="shared" si="8"/>
      </c>
      <c r="N47" s="128">
        <f ca="1" t="shared" si="9"/>
      </c>
      <c r="O47" s="128">
        <f ca="1" t="shared" si="10"/>
      </c>
      <c r="P47" s="128">
        <f ca="1" t="shared" si="11"/>
      </c>
      <c r="Q47" s="128">
        <f ca="1" t="shared" si="12"/>
      </c>
    </row>
    <row r="48" spans="3:17" ht="12.75">
      <c r="C48" s="137">
        <f ca="1" t="shared" si="1"/>
      </c>
      <c r="D48" s="132"/>
      <c r="E48" s="129">
        <f ca="1" t="shared" si="2"/>
      </c>
      <c r="F48" s="127">
        <f ca="1" t="shared" si="3"/>
      </c>
      <c r="G48" s="127">
        <f ca="1" t="shared" si="4"/>
      </c>
      <c r="H48" s="127">
        <f ca="1" t="shared" si="5"/>
      </c>
      <c r="I48" s="127">
        <f ca="1" t="shared" si="6"/>
      </c>
      <c r="J48" s="128"/>
      <c r="K48" s="128">
        <f t="shared" si="7"/>
      </c>
      <c r="L48" s="128">
        <f ca="1" t="shared" si="8"/>
      </c>
      <c r="N48" s="128">
        <f ca="1" t="shared" si="9"/>
      </c>
      <c r="O48" s="128">
        <f ca="1" t="shared" si="10"/>
      </c>
      <c r="P48" s="128">
        <f ca="1" t="shared" si="11"/>
      </c>
      <c r="Q48" s="128">
        <f ca="1" t="shared" si="12"/>
      </c>
    </row>
    <row r="49" spans="3:17" ht="12.75">
      <c r="C49" s="137">
        <f ca="1" t="shared" si="1"/>
      </c>
      <c r="D49" s="132"/>
      <c r="E49" s="129">
        <f ca="1" t="shared" si="2"/>
      </c>
      <c r="F49" s="127">
        <f ca="1" t="shared" si="3"/>
      </c>
      <c r="G49" s="127">
        <f ca="1" t="shared" si="4"/>
      </c>
      <c r="H49" s="127">
        <f ca="1" t="shared" si="5"/>
      </c>
      <c r="I49" s="127">
        <f ca="1" t="shared" si="6"/>
      </c>
      <c r="J49" s="128"/>
      <c r="K49" s="128">
        <f t="shared" si="7"/>
      </c>
      <c r="L49" s="128">
        <f ca="1" t="shared" si="8"/>
      </c>
      <c r="N49" s="128">
        <f ca="1" t="shared" si="9"/>
      </c>
      <c r="O49" s="128">
        <f ca="1" t="shared" si="10"/>
      </c>
      <c r="P49" s="128">
        <f ca="1" t="shared" si="11"/>
      </c>
      <c r="Q49" s="128">
        <f ca="1" t="shared" si="12"/>
      </c>
    </row>
    <row r="50" spans="3:17" ht="12.75">
      <c r="C50" s="137">
        <f ca="1" t="shared" si="1"/>
      </c>
      <c r="D50" s="132"/>
      <c r="E50" s="129">
        <f ca="1" t="shared" si="2"/>
      </c>
      <c r="F50" s="127">
        <f ca="1" t="shared" si="3"/>
      </c>
      <c r="G50" s="127">
        <f ca="1" t="shared" si="4"/>
      </c>
      <c r="H50" s="127">
        <f ca="1" t="shared" si="5"/>
      </c>
      <c r="I50" s="127">
        <f ca="1" t="shared" si="6"/>
      </c>
      <c r="J50" s="128"/>
      <c r="K50" s="128">
        <f t="shared" si="7"/>
      </c>
      <c r="L50" s="128">
        <f ca="1" t="shared" si="8"/>
      </c>
      <c r="N50" s="128">
        <f ca="1" t="shared" si="9"/>
      </c>
      <c r="O50" s="128">
        <f ca="1" t="shared" si="10"/>
      </c>
      <c r="P50" s="128">
        <f ca="1" t="shared" si="11"/>
      </c>
      <c r="Q50" s="128">
        <f ca="1" t="shared" si="12"/>
      </c>
    </row>
    <row r="51" spans="3:17" ht="12.75">
      <c r="C51" s="137">
        <f ca="1" t="shared" si="1"/>
      </c>
      <c r="D51" s="132"/>
      <c r="E51" s="129">
        <f ca="1" t="shared" si="2"/>
      </c>
      <c r="F51" s="127">
        <f ca="1" t="shared" si="3"/>
      </c>
      <c r="G51" s="127">
        <f ca="1" t="shared" si="4"/>
      </c>
      <c r="H51" s="127">
        <f ca="1" t="shared" si="5"/>
      </c>
      <c r="I51" s="127">
        <f ca="1" t="shared" si="6"/>
      </c>
      <c r="J51" s="128"/>
      <c r="K51" s="128">
        <f t="shared" si="7"/>
      </c>
      <c r="L51" s="128">
        <f ca="1" t="shared" si="8"/>
      </c>
      <c r="N51" s="128">
        <f ca="1" t="shared" si="9"/>
      </c>
      <c r="O51" s="128">
        <f ca="1" t="shared" si="10"/>
      </c>
      <c r="P51" s="128">
        <f ca="1" t="shared" si="11"/>
      </c>
      <c r="Q51" s="128">
        <f ca="1" t="shared" si="12"/>
      </c>
    </row>
    <row r="52" spans="3:17" ht="12.75">
      <c r="C52" s="137">
        <f ca="1" t="shared" si="1"/>
      </c>
      <c r="D52" s="132"/>
      <c r="E52" s="129">
        <f ca="1" t="shared" si="2"/>
      </c>
      <c r="F52" s="127">
        <f ca="1" t="shared" si="3"/>
      </c>
      <c r="G52" s="127">
        <f ca="1" t="shared" si="4"/>
      </c>
      <c r="H52" s="127">
        <f ca="1" t="shared" si="5"/>
      </c>
      <c r="I52" s="127">
        <f ca="1" t="shared" si="6"/>
      </c>
      <c r="J52" s="128"/>
      <c r="K52" s="128">
        <f t="shared" si="7"/>
      </c>
      <c r="L52" s="128">
        <f ca="1" t="shared" si="8"/>
      </c>
      <c r="N52" s="128">
        <f ca="1" t="shared" si="9"/>
      </c>
      <c r="O52" s="128">
        <f ca="1" t="shared" si="10"/>
      </c>
      <c r="P52" s="128">
        <f ca="1" t="shared" si="11"/>
      </c>
      <c r="Q52" s="128">
        <f ca="1" t="shared" si="12"/>
      </c>
    </row>
    <row r="53" spans="3:17" ht="12.75">
      <c r="C53" s="137">
        <f ca="1" t="shared" si="1"/>
      </c>
      <c r="D53" s="132"/>
      <c r="E53" s="129">
        <f ca="1" t="shared" si="2"/>
      </c>
      <c r="F53" s="127">
        <f ca="1" t="shared" si="3"/>
      </c>
      <c r="G53" s="127">
        <f ca="1" t="shared" si="4"/>
      </c>
      <c r="H53" s="127">
        <f ca="1" t="shared" si="5"/>
      </c>
      <c r="I53" s="127">
        <f ca="1" t="shared" si="6"/>
      </c>
      <c r="J53" s="128"/>
      <c r="K53" s="128">
        <f t="shared" si="7"/>
      </c>
      <c r="L53" s="128">
        <f ca="1" t="shared" si="8"/>
      </c>
      <c r="N53" s="128">
        <f ca="1" t="shared" si="9"/>
      </c>
      <c r="O53" s="128">
        <f ca="1" t="shared" si="10"/>
      </c>
      <c r="P53" s="128">
        <f ca="1" t="shared" si="11"/>
      </c>
      <c r="Q53" s="128">
        <f ca="1" t="shared" si="12"/>
      </c>
    </row>
    <row r="54" spans="3:17" ht="12.75">
      <c r="C54" s="137">
        <f ca="1" t="shared" si="1"/>
      </c>
      <c r="D54" s="132"/>
      <c r="E54" s="129">
        <f ca="1" t="shared" si="2"/>
      </c>
      <c r="F54" s="127">
        <f ca="1" t="shared" si="3"/>
      </c>
      <c r="G54" s="127">
        <f ca="1" t="shared" si="4"/>
      </c>
      <c r="H54" s="127">
        <f ca="1" t="shared" si="5"/>
      </c>
      <c r="I54" s="127">
        <f ca="1" t="shared" si="6"/>
      </c>
      <c r="J54" s="128"/>
      <c r="K54" s="128">
        <f t="shared" si="7"/>
      </c>
      <c r="L54" s="128">
        <f ca="1" t="shared" si="8"/>
      </c>
      <c r="N54" s="128">
        <f ca="1" t="shared" si="9"/>
      </c>
      <c r="O54" s="128">
        <f ca="1" t="shared" si="10"/>
      </c>
      <c r="P54" s="128">
        <f ca="1" t="shared" si="11"/>
      </c>
      <c r="Q54" s="128">
        <f ca="1" t="shared" si="12"/>
      </c>
    </row>
    <row r="55" spans="3:17" ht="12.75">
      <c r="C55" s="137">
        <f ca="1" t="shared" si="1"/>
      </c>
      <c r="D55" s="132"/>
      <c r="E55" s="129">
        <f ca="1" t="shared" si="2"/>
      </c>
      <c r="F55" s="127">
        <f ca="1" t="shared" si="3"/>
      </c>
      <c r="G55" s="127">
        <f ca="1" t="shared" si="4"/>
      </c>
      <c r="H55" s="127">
        <f ca="1" t="shared" si="5"/>
      </c>
      <c r="I55" s="127">
        <f ca="1" t="shared" si="6"/>
      </c>
      <c r="J55" s="128"/>
      <c r="K55" s="128">
        <f t="shared" si="7"/>
      </c>
      <c r="L55" s="128">
        <f ca="1" t="shared" si="8"/>
      </c>
      <c r="N55" s="128">
        <f ca="1" t="shared" si="9"/>
      </c>
      <c r="O55" s="128">
        <f ca="1" t="shared" si="10"/>
      </c>
      <c r="P55" s="128">
        <f ca="1" t="shared" si="11"/>
      </c>
      <c r="Q55" s="128">
        <f ca="1" t="shared" si="12"/>
      </c>
    </row>
    <row r="56" spans="3:17" ht="12.75">
      <c r="C56" s="137">
        <f ca="1" t="shared" si="1"/>
      </c>
      <c r="D56" s="132"/>
      <c r="E56" s="129">
        <f ca="1" t="shared" si="2"/>
      </c>
      <c r="F56" s="127">
        <f ca="1" t="shared" si="3"/>
      </c>
      <c r="G56" s="127">
        <f ca="1" t="shared" si="4"/>
      </c>
      <c r="H56" s="127">
        <f ca="1" t="shared" si="5"/>
      </c>
      <c r="I56" s="127">
        <f ca="1" t="shared" si="6"/>
      </c>
      <c r="J56" s="128"/>
      <c r="K56" s="128">
        <f t="shared" si="7"/>
      </c>
      <c r="L56" s="128">
        <f ca="1" t="shared" si="8"/>
      </c>
      <c r="N56" s="128">
        <f ca="1" t="shared" si="9"/>
      </c>
      <c r="O56" s="128">
        <f ca="1" t="shared" si="10"/>
      </c>
      <c r="P56" s="128">
        <f ca="1" t="shared" si="11"/>
      </c>
      <c r="Q56" s="128">
        <f ca="1" t="shared" si="12"/>
      </c>
    </row>
  </sheetData>
  <mergeCells count="4">
    <mergeCell ref="B3:B4"/>
    <mergeCell ref="N6:Q6"/>
    <mergeCell ref="F1:I5"/>
    <mergeCell ref="K5:L5"/>
  </mergeCells>
  <conditionalFormatting sqref="J9:L9 J11:L11 N9:Q13 N29:Q56">
    <cfRule type="expression" priority="1" dxfId="0" stopIfTrue="1">
      <formula>$B$3=$A9</formula>
    </cfRule>
  </conditionalFormatting>
  <conditionalFormatting sqref="N14:Q25">
    <cfRule type="expression" priority="2" dxfId="0" stopIfTrue="1">
      <formula>$B$3=$A17</formula>
    </cfRule>
  </conditionalFormatting>
  <conditionalFormatting sqref="N26:Q28 N7:Q8 J7:L8">
    <cfRule type="expression" priority="3" dxfId="0" stopIfTrue="1">
      <formula>$B$3=#REF!</formula>
    </cfRule>
  </conditionalFormatting>
  <conditionalFormatting sqref="E7:I56">
    <cfRule type="expression" priority="4" dxfId="0" stopIfTrue="1">
      <formula>$B$3=$E7</formula>
    </cfRule>
  </conditionalFormatting>
  <dataValidations count="1">
    <dataValidation type="list" showInputMessage="1" showErrorMessage="1" sqref="B1">
      <formula1>Events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I4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9" width="8.7109375" style="0" customWidth="1"/>
    <col min="10" max="12" width="8.7109375" style="0" hidden="1" customWidth="1"/>
    <col min="13" max="13" width="15.8515625" style="0" hidden="1" customWidth="1"/>
    <col min="14" max="19" width="8.7109375" style="0" customWidth="1"/>
  </cols>
  <sheetData>
    <row r="1" spans="1:32" ht="12.75" customHeight="1">
      <c r="A1" s="1"/>
      <c r="B1" s="154" t="s">
        <v>89</v>
      </c>
      <c r="C1" s="50"/>
      <c r="D1" s="204" t="s">
        <v>90</v>
      </c>
      <c r="E1" s="48">
        <v>3</v>
      </c>
      <c r="F1" s="159" t="s">
        <v>91</v>
      </c>
      <c r="G1" s="202">
        <v>1</v>
      </c>
      <c r="H1" s="205" t="s">
        <v>92</v>
      </c>
      <c r="I1" s="206">
        <v>2</v>
      </c>
      <c r="J1" s="1"/>
      <c r="K1" s="1"/>
      <c r="L1" s="141">
        <v>0.0006944444444444445</v>
      </c>
      <c r="M1" s="44"/>
      <c r="N1" s="3"/>
      <c r="O1" s="37">
        <f>COUNTA(O3:O32)</f>
        <v>17</v>
      </c>
      <c r="P1" s="195" t="s">
        <v>4</v>
      </c>
      <c r="Q1" s="195"/>
      <c r="R1" s="195" t="s">
        <v>5</v>
      </c>
      <c r="S1" s="195"/>
      <c r="T1" s="192" t="s">
        <v>18</v>
      </c>
      <c r="U1" s="193"/>
      <c r="V1" s="194"/>
      <c r="AF1" t="s">
        <v>66</v>
      </c>
    </row>
    <row r="2" spans="1:22" ht="12.75" customHeight="1">
      <c r="A2" s="1" t="s">
        <v>0</v>
      </c>
      <c r="B2" s="79" t="s">
        <v>1</v>
      </c>
      <c r="C2" s="79" t="s">
        <v>2</v>
      </c>
      <c r="D2" s="20" t="s">
        <v>1</v>
      </c>
      <c r="E2" s="16" t="s">
        <v>2</v>
      </c>
      <c r="F2" s="160" t="s">
        <v>1</v>
      </c>
      <c r="G2" s="160" t="s">
        <v>2</v>
      </c>
      <c r="H2" s="158" t="s">
        <v>1</v>
      </c>
      <c r="I2" s="158" t="s">
        <v>2</v>
      </c>
      <c r="J2" s="1"/>
      <c r="K2" s="1"/>
      <c r="L2" s="141" t="s">
        <v>98</v>
      </c>
      <c r="M2" s="1"/>
      <c r="N2" s="10"/>
      <c r="O2" s="1" t="s">
        <v>1</v>
      </c>
      <c r="P2" s="1" t="s">
        <v>2</v>
      </c>
      <c r="Q2" s="1" t="s">
        <v>6</v>
      </c>
      <c r="R2" s="1" t="s">
        <v>2</v>
      </c>
      <c r="S2" s="1" t="s">
        <v>6</v>
      </c>
      <c r="T2" s="31" t="s">
        <v>12</v>
      </c>
      <c r="U2" s="31" t="s">
        <v>13</v>
      </c>
      <c r="V2" s="31" t="s">
        <v>14</v>
      </c>
    </row>
    <row r="3" spans="1:35" ht="12.75" customHeight="1">
      <c r="A3" s="2">
        <f>IF(B3="","",1)</f>
        <v>1</v>
      </c>
      <c r="B3" s="13" t="str">
        <f>IF(O3="","",O3)</f>
        <v>Geoff</v>
      </c>
      <c r="C3" s="27">
        <v>20</v>
      </c>
      <c r="D3" s="22" t="str">
        <f aca="true" ca="1" t="shared" si="0" ref="D3:D17">IF($A3="","",IF($A3&gt;E$1,INDIRECT("B"&amp;$A3-E$1+2,TRUE),INDIRECT("B"&amp;$O$1-E$1+$A3+2,TRUE)))</f>
        <v>Garth</v>
      </c>
      <c r="E3" s="27">
        <v>21</v>
      </c>
      <c r="F3" s="161" t="str">
        <f aca="true" ca="1" t="shared" si="1" ref="F3:F17">IF($A3="","",IF($A3&gt;G$1,INDIRECT("B"&amp;$A3-G$1+2,TRUE),INDIRECT("B"&amp;$O$1-G$1+$A3+2,TRUE)))</f>
        <v>Cam</v>
      </c>
      <c r="G3" s="35">
        <v>18</v>
      </c>
      <c r="H3" s="207" t="str">
        <f aca="true" ca="1" t="shared" si="2" ref="H3:H17">IF($A3="","",IF($A3&gt;I$1,INDIRECT("B"&amp;$A3-I$1+2,TRUE),INDIRECT("B"&amp;$O$1-I$1+$A3+2,TRUE)))</f>
        <v>Karl</v>
      </c>
      <c r="I3" s="28">
        <v>23</v>
      </c>
      <c r="L3" s="116">
        <f aca="true" t="shared" si="3" ref="L3:L32">L$1</f>
        <v>0.0006944444444444445</v>
      </c>
      <c r="M3" s="4"/>
      <c r="N3" s="2" t="s">
        <v>4</v>
      </c>
      <c r="O3" s="4" t="s">
        <v>28</v>
      </c>
      <c r="P3" s="4">
        <f>IF($O3&gt;" ",IF(OR(P$1="",P$1=$N3),0+INDEX($C$3:$C$32,MATCH($O3,$B$3:$B$32,0),1)+INDEX($E$3:$E$32,MATCH($O3,$D$3:$D$32,0),1)+INDEX($G$3:$G$32,MATCH($O3,$F$3:$F$32,0),1)+INDEX($I$3:$I$32,MATCH($O3,$H$3:$H$32,0),1),""),"")</f>
        <v>85</v>
      </c>
      <c r="Q3" s="11">
        <f>IF(ISNUMBER(P3),RANK(P3,P$3:P$32,0),"")</f>
        <v>3</v>
      </c>
      <c r="R3" s="4">
        <f aca="true" t="shared" si="4" ref="R3:R32">IF($O3&gt;" ",IF(OR(R$1="",R$1=$N3),0+INDEX($C$3:$C$32,MATCH($O3,$B$3:$B$32,0),1)+INDEX($E$3:$E$32,MATCH($O3,$D$3:$D$32,0),1)+INDEX($G$3:$G$32,MATCH($O3,$F$3:$F$32,0),1)+INDEX($I$3:$I$32,MATCH($O3,$H$3:$H$32,0),1),""),"")</f>
      </c>
      <c r="S3" s="11">
        <f aca="true" t="shared" si="5" ref="S3:S32">IF(ISNUMBER(R3),RANK(R3,R$3:R$32,0),"")</f>
      </c>
      <c r="T3" s="4">
        <f>IF(N3="","",IF(N3=$P$1,IF(Q3=1,20,IF(Q3=2,17,18-Q3)),IF(S3=1,20,IF(S3=2,17,18-S3))))</f>
        <v>15</v>
      </c>
      <c r="U3" s="30">
        <f>IF($O3="","",0+INDEX($AC$3:$AC$32,MATCH($O3,$B$3:$B$32,0),1)+INDEX($AE$3:$AE$32,MATCH($O3,$D$3:$D$32,0),1)+INDEX($AG$3:$AG$32,MATCH($O3,$F$3:$F$32,0),1)+INDEX($AI$3:$AI$32,MATCH($O3,$H$3:$H$32,0),1))</f>
        <v>1</v>
      </c>
      <c r="V3" s="11">
        <f>IF(O3="","",T3+U3)</f>
        <v>16</v>
      </c>
      <c r="AC3">
        <f>IF(B3="","",IF(RANK(C3,$B3:$I3)=1,1,0))</f>
        <v>0</v>
      </c>
      <c r="AE3">
        <f>IF(D3="","",IF(RANK(E3,$B3:$I3)=1,1,0))</f>
        <v>0</v>
      </c>
      <c r="AG3">
        <f>IF(F3="","",IF(RANK(G3,$B3:$I3)=1,1,0))</f>
        <v>0</v>
      </c>
      <c r="AI3">
        <f>IF(H3="","",IF(RANK(I3,$B3:$I3)=1,1,0))</f>
        <v>1</v>
      </c>
    </row>
    <row r="4" spans="1:35" ht="12.75" customHeight="1">
      <c r="A4" s="3">
        <f>IF(B4="","",A3+1)</f>
        <v>2</v>
      </c>
      <c r="B4" s="14" t="str">
        <f aca="true" t="shared" si="6" ref="B4:B26">IF(O4="","",O4)</f>
        <v>Chad</v>
      </c>
      <c r="C4" s="28">
        <v>25</v>
      </c>
      <c r="D4" s="22" t="str">
        <f ca="1" t="shared" si="0"/>
        <v>Karl</v>
      </c>
      <c r="E4" s="28">
        <v>27</v>
      </c>
      <c r="F4" s="161" t="str">
        <f ca="1" t="shared" si="1"/>
        <v>Geoff</v>
      </c>
      <c r="G4" s="33">
        <v>21</v>
      </c>
      <c r="H4" s="207" t="str">
        <f ca="1" t="shared" si="2"/>
        <v>Cam</v>
      </c>
      <c r="I4" s="28">
        <v>20</v>
      </c>
      <c r="L4" s="116">
        <f t="shared" si="3"/>
        <v>0.0006944444444444445</v>
      </c>
      <c r="N4" s="3" t="s">
        <v>5</v>
      </c>
      <c r="O4" s="5" t="s">
        <v>26</v>
      </c>
      <c r="P4" s="5">
        <f aca="true" t="shared" si="7" ref="P4:P32">IF($O4&gt;" ",IF(OR(P$1="",P$1=$N4),0+INDEX($C$3:$C$32,MATCH($O4,$B$3:$B$32,0),1)+INDEX($E$3:$E$32,MATCH($O4,$D$3:$D$32,0),1)+INDEX($G$3:$G$32,MATCH($O4,$F$3:$F$32,0),1)+INDEX($I$3:$I$32,MATCH($O4,$H$3:$H$32,0),1),""),"")</f>
      </c>
      <c r="Q4" s="6">
        <f aca="true" t="shared" si="8" ref="Q4:Q32">IF(ISNUMBER(P4),RANK(P4,P$3:P$32,0),"")</f>
      </c>
      <c r="R4" s="5">
        <f t="shared" si="4"/>
        <v>96</v>
      </c>
      <c r="S4" s="6">
        <f t="shared" si="5"/>
        <v>1</v>
      </c>
      <c r="T4" s="5">
        <f aca="true" t="shared" si="9" ref="T4:T26">IF(N4="","",IF(N4=$P$1,IF(Q4=1,20,IF(Q4=2,17,18-Q4)),IF(S4=1,20,IF(S4=2,17,18-S4))))</f>
        <v>20</v>
      </c>
      <c r="U4" s="9">
        <f aca="true" t="shared" si="10" ref="U4:U32">IF($O4="","",0+INDEX($AC$3:$AC$32,MATCH($O4,$B$3:$B$32,0),1)+INDEX($AE$3:$AE$32,MATCH($O4,$D$3:$D$32,0),1)+INDEX($AG$3:$AG$32,MATCH($O4,$F$3:$F$32,0),1)+INDEX($AI$3:$AI$32,MATCH($O4,$H$3:$H$32,0),1))</f>
        <v>3</v>
      </c>
      <c r="V4" s="6">
        <f aca="true" t="shared" si="11" ref="V4:V32">IF(O4="","",T4+U4)</f>
        <v>23</v>
      </c>
      <c r="AC4">
        <f aca="true" t="shared" si="12" ref="AC4:AC32">IF(B4="","",IF(RANK(C4,$B4:$I4)=1,1,0))</f>
        <v>0</v>
      </c>
      <c r="AE4">
        <f aca="true" t="shared" si="13" ref="AE4:AE32">IF(D4="","",IF(RANK(E4,$B4:$I4)=1,1,0))</f>
        <v>1</v>
      </c>
      <c r="AG4">
        <f aca="true" t="shared" si="14" ref="AG4:AG32">IF(F4="","",IF(RANK(G4,$B4:$I4)=1,1,0))</f>
        <v>0</v>
      </c>
      <c r="AI4">
        <f aca="true" t="shared" si="15" ref="AI4:AI32">IF(H4="","",IF(RANK(I4,$B4:$I4)=1,1,0))</f>
        <v>0</v>
      </c>
    </row>
    <row r="5" spans="1:35" ht="12.75" customHeight="1">
      <c r="A5" s="3">
        <f aca="true" t="shared" si="16" ref="A5:A21">IF(B5="","",A4+1)</f>
        <v>3</v>
      </c>
      <c r="B5" s="14" t="str">
        <f t="shared" si="6"/>
        <v>Richard</v>
      </c>
      <c r="C5" s="28">
        <v>18</v>
      </c>
      <c r="D5" s="22" t="str">
        <f ca="1" t="shared" si="0"/>
        <v>Cam</v>
      </c>
      <c r="E5" s="28">
        <v>23</v>
      </c>
      <c r="F5" s="161" t="str">
        <f ca="1" t="shared" si="1"/>
        <v>Chad</v>
      </c>
      <c r="G5" s="33">
        <v>25</v>
      </c>
      <c r="H5" s="207" t="str">
        <f ca="1" t="shared" si="2"/>
        <v>Geoff</v>
      </c>
      <c r="I5" s="28">
        <v>22</v>
      </c>
      <c r="L5" s="116">
        <f t="shared" si="3"/>
        <v>0.0006944444444444445</v>
      </c>
      <c r="N5" s="3" t="s">
        <v>5</v>
      </c>
      <c r="O5" s="5" t="s">
        <v>38</v>
      </c>
      <c r="P5" s="5">
        <f t="shared" si="7"/>
      </c>
      <c r="Q5" s="6">
        <f t="shared" si="8"/>
      </c>
      <c r="R5" s="5">
        <f t="shared" si="4"/>
        <v>79</v>
      </c>
      <c r="S5" s="6">
        <f t="shared" si="5"/>
        <v>8</v>
      </c>
      <c r="T5" s="5">
        <f t="shared" si="9"/>
        <v>10</v>
      </c>
      <c r="U5" s="9">
        <f t="shared" si="10"/>
        <v>1</v>
      </c>
      <c r="V5" s="6">
        <f t="shared" si="11"/>
        <v>11</v>
      </c>
      <c r="AC5">
        <f t="shared" si="12"/>
        <v>0</v>
      </c>
      <c r="AE5">
        <f t="shared" si="13"/>
        <v>0</v>
      </c>
      <c r="AG5">
        <f t="shared" si="14"/>
        <v>1</v>
      </c>
      <c r="AI5">
        <f t="shared" si="15"/>
        <v>0</v>
      </c>
    </row>
    <row r="6" spans="1:35" ht="12.75" customHeight="1">
      <c r="A6" s="3">
        <f t="shared" si="16"/>
        <v>4</v>
      </c>
      <c r="B6" s="14" t="str">
        <f t="shared" si="6"/>
        <v>Barry</v>
      </c>
      <c r="C6" s="28">
        <v>18</v>
      </c>
      <c r="D6" s="22" t="str">
        <f ca="1" t="shared" si="0"/>
        <v>Geoff</v>
      </c>
      <c r="E6" s="28">
        <v>22</v>
      </c>
      <c r="F6" s="161" t="str">
        <f ca="1" t="shared" si="1"/>
        <v>Richard</v>
      </c>
      <c r="G6" s="33">
        <v>19</v>
      </c>
      <c r="H6" s="207" t="str">
        <f ca="1" t="shared" si="2"/>
        <v>Chad</v>
      </c>
      <c r="I6" s="28">
        <v>22</v>
      </c>
      <c r="L6" s="116">
        <f t="shared" si="3"/>
        <v>0.0006944444444444445</v>
      </c>
      <c r="N6" s="3" t="s">
        <v>5</v>
      </c>
      <c r="O6" s="5" t="s">
        <v>29</v>
      </c>
      <c r="P6" s="5">
        <f t="shared" si="7"/>
      </c>
      <c r="Q6" s="6">
        <f t="shared" si="8"/>
      </c>
      <c r="R6" s="5">
        <f t="shared" si="4"/>
        <v>69</v>
      </c>
      <c r="S6" s="6">
        <f t="shared" si="5"/>
        <v>12</v>
      </c>
      <c r="T6" s="5">
        <f t="shared" si="9"/>
        <v>6</v>
      </c>
      <c r="U6" s="51">
        <f t="shared" si="10"/>
        <v>0</v>
      </c>
      <c r="V6" s="6">
        <f t="shared" si="11"/>
        <v>6</v>
      </c>
      <c r="AC6">
        <f t="shared" si="12"/>
        <v>0</v>
      </c>
      <c r="AE6">
        <f t="shared" si="13"/>
        <v>1</v>
      </c>
      <c r="AG6">
        <f t="shared" si="14"/>
        <v>0</v>
      </c>
      <c r="AI6">
        <f t="shared" si="15"/>
        <v>1</v>
      </c>
    </row>
    <row r="7" spans="1:35" ht="12.75" customHeight="1">
      <c r="A7" s="3">
        <f t="shared" si="16"/>
        <v>5</v>
      </c>
      <c r="B7" s="14" t="str">
        <f t="shared" si="6"/>
        <v>Kev</v>
      </c>
      <c r="C7" s="28">
        <v>20</v>
      </c>
      <c r="D7" s="22" t="str">
        <f ca="1" t="shared" si="0"/>
        <v>Chad</v>
      </c>
      <c r="E7" s="28">
        <v>24</v>
      </c>
      <c r="F7" s="161" t="str">
        <f ca="1" t="shared" si="1"/>
        <v>Barry</v>
      </c>
      <c r="G7" s="33">
        <v>17</v>
      </c>
      <c r="H7" s="207" t="str">
        <f ca="1" t="shared" si="2"/>
        <v>Richard</v>
      </c>
      <c r="I7" s="28">
        <v>19</v>
      </c>
      <c r="L7" s="116">
        <f t="shared" si="3"/>
        <v>0.0006944444444444445</v>
      </c>
      <c r="N7" s="3" t="s">
        <v>5</v>
      </c>
      <c r="O7" s="5" t="s">
        <v>24</v>
      </c>
      <c r="P7" s="5">
        <f t="shared" si="7"/>
      </c>
      <c r="Q7" s="6">
        <f t="shared" si="8"/>
      </c>
      <c r="R7" s="5">
        <f t="shared" si="4"/>
        <v>86</v>
      </c>
      <c r="S7" s="6">
        <f t="shared" si="5"/>
        <v>4</v>
      </c>
      <c r="T7" s="5">
        <f t="shared" si="9"/>
        <v>14</v>
      </c>
      <c r="U7" s="9">
        <f t="shared" si="10"/>
        <v>2</v>
      </c>
      <c r="V7" s="6">
        <f t="shared" si="11"/>
        <v>16</v>
      </c>
      <c r="AC7">
        <f t="shared" si="12"/>
        <v>0</v>
      </c>
      <c r="AE7">
        <f t="shared" si="13"/>
        <v>1</v>
      </c>
      <c r="AG7">
        <f t="shared" si="14"/>
        <v>0</v>
      </c>
      <c r="AI7">
        <f t="shared" si="15"/>
        <v>0</v>
      </c>
    </row>
    <row r="8" spans="1:35" ht="12.75" customHeight="1">
      <c r="A8" s="3">
        <f t="shared" si="16"/>
        <v>6</v>
      </c>
      <c r="B8" s="14" t="str">
        <f t="shared" si="6"/>
        <v>Chris</v>
      </c>
      <c r="C8" s="28">
        <v>20</v>
      </c>
      <c r="D8" s="22" t="str">
        <f ca="1" t="shared" si="0"/>
        <v>Richard</v>
      </c>
      <c r="E8" s="28">
        <v>23</v>
      </c>
      <c r="F8" s="161" t="str">
        <f ca="1" t="shared" si="1"/>
        <v>Kev</v>
      </c>
      <c r="G8" s="33">
        <v>22</v>
      </c>
      <c r="H8" s="207" t="str">
        <f ca="1" t="shared" si="2"/>
        <v>Barry</v>
      </c>
      <c r="I8" s="28">
        <v>20</v>
      </c>
      <c r="L8" s="116">
        <f t="shared" si="3"/>
        <v>0.0006944444444444445</v>
      </c>
      <c r="N8" s="3" t="s">
        <v>5</v>
      </c>
      <c r="O8" s="5" t="s">
        <v>39</v>
      </c>
      <c r="P8" s="5">
        <f t="shared" si="7"/>
      </c>
      <c r="Q8" s="6">
        <f t="shared" si="8"/>
      </c>
      <c r="R8" s="5">
        <f t="shared" si="4"/>
        <v>84</v>
      </c>
      <c r="S8" s="6">
        <f t="shared" si="5"/>
        <v>7</v>
      </c>
      <c r="T8" s="5">
        <f t="shared" si="9"/>
        <v>11</v>
      </c>
      <c r="U8" s="51">
        <f t="shared" si="10"/>
        <v>2</v>
      </c>
      <c r="V8" s="6">
        <f t="shared" si="11"/>
        <v>13</v>
      </c>
      <c r="AC8">
        <f t="shared" si="12"/>
        <v>0</v>
      </c>
      <c r="AE8">
        <f t="shared" si="13"/>
        <v>1</v>
      </c>
      <c r="AG8">
        <f t="shared" si="14"/>
        <v>0</v>
      </c>
      <c r="AI8">
        <f t="shared" si="15"/>
        <v>0</v>
      </c>
    </row>
    <row r="9" spans="1:35" ht="12.75" customHeight="1">
      <c r="A9" s="3">
        <f t="shared" si="16"/>
        <v>7</v>
      </c>
      <c r="B9" s="14" t="str">
        <f t="shared" si="6"/>
        <v>Sarah E</v>
      </c>
      <c r="C9" s="28">
        <v>20</v>
      </c>
      <c r="D9" s="22" t="str">
        <f ca="1" t="shared" si="0"/>
        <v>Barry</v>
      </c>
      <c r="E9" s="28">
        <v>14</v>
      </c>
      <c r="F9" s="161" t="str">
        <f ca="1" t="shared" si="1"/>
        <v>Chris</v>
      </c>
      <c r="G9" s="33">
        <v>21</v>
      </c>
      <c r="H9" s="207" t="str">
        <f ca="1" t="shared" si="2"/>
        <v>Kev</v>
      </c>
      <c r="I9" s="28">
        <v>21</v>
      </c>
      <c r="L9" s="116">
        <f t="shared" si="3"/>
        <v>0.0006944444444444445</v>
      </c>
      <c r="N9" s="3" t="s">
        <v>5</v>
      </c>
      <c r="O9" s="5" t="s">
        <v>108</v>
      </c>
      <c r="P9" s="5">
        <f t="shared" si="7"/>
      </c>
      <c r="Q9" s="6">
        <f t="shared" si="8"/>
      </c>
      <c r="R9" s="5">
        <f t="shared" si="4"/>
        <v>85</v>
      </c>
      <c r="S9" s="6">
        <f t="shared" si="5"/>
        <v>5</v>
      </c>
      <c r="T9" s="5">
        <f t="shared" si="9"/>
        <v>13</v>
      </c>
      <c r="U9" s="51">
        <f t="shared" si="10"/>
        <v>2</v>
      </c>
      <c r="V9" s="6">
        <f t="shared" si="11"/>
        <v>15</v>
      </c>
      <c r="AC9">
        <f t="shared" si="12"/>
        <v>0</v>
      </c>
      <c r="AE9">
        <f t="shared" si="13"/>
        <v>0</v>
      </c>
      <c r="AG9">
        <f t="shared" si="14"/>
        <v>1</v>
      </c>
      <c r="AI9">
        <f t="shared" si="15"/>
        <v>1</v>
      </c>
    </row>
    <row r="10" spans="1:35" ht="12.75" customHeight="1">
      <c r="A10" s="3">
        <f t="shared" si="16"/>
        <v>8</v>
      </c>
      <c r="B10" s="14" t="str">
        <f aca="true" t="shared" si="17" ref="B10:B20">IF(O10="","",O10)</f>
        <v>Graham</v>
      </c>
      <c r="C10" s="28">
        <v>16</v>
      </c>
      <c r="D10" s="22" t="str">
        <f ca="1" t="shared" si="0"/>
        <v>Kev</v>
      </c>
      <c r="E10" s="28">
        <v>23</v>
      </c>
      <c r="F10" s="161" t="str">
        <f ca="1" t="shared" si="1"/>
        <v>Sarah E</v>
      </c>
      <c r="G10" s="33">
        <v>22</v>
      </c>
      <c r="H10" s="207" t="str">
        <f ca="1" t="shared" si="2"/>
        <v>Chris</v>
      </c>
      <c r="I10" s="28">
        <v>21</v>
      </c>
      <c r="L10" s="116">
        <f t="shared" si="3"/>
        <v>0.0006944444444444445</v>
      </c>
      <c r="M10">
        <f aca="true" t="shared" si="18" ref="M10:M32">IF(O10="","",IF(N10=P$1,P10,R10))</f>
        <v>74</v>
      </c>
      <c r="N10" s="3" t="s">
        <v>5</v>
      </c>
      <c r="O10" s="5" t="s">
        <v>111</v>
      </c>
      <c r="P10" s="5">
        <f aca="true" t="shared" si="19" ref="P10:P20">IF($O10&gt;" ",IF(OR(P$1="",P$1=$N10),0+INDEX($C$3:$C$32,MATCH($O10,$B$3:$B$32,0),1)+INDEX($E$3:$E$32,MATCH($O10,$D$3:$D$32,0),1)+INDEX($G$3:$G$32,MATCH($O10,$F$3:$F$32,0),1)+INDEX($I$3:$I$32,MATCH($O10,$H$3:$H$32,0),1),""),"")</f>
      </c>
      <c r="Q10" s="6">
        <f t="shared" si="8"/>
      </c>
      <c r="R10" s="5">
        <f t="shared" si="4"/>
        <v>74</v>
      </c>
      <c r="S10" s="6">
        <f t="shared" si="5"/>
        <v>11</v>
      </c>
      <c r="T10" s="5">
        <f t="shared" si="9"/>
        <v>7</v>
      </c>
      <c r="U10" s="51">
        <f t="shared" si="10"/>
        <v>1</v>
      </c>
      <c r="V10" s="6">
        <f t="shared" si="11"/>
        <v>8</v>
      </c>
      <c r="AC10">
        <f t="shared" si="12"/>
        <v>0</v>
      </c>
      <c r="AE10">
        <f t="shared" si="13"/>
        <v>1</v>
      </c>
      <c r="AG10">
        <f t="shared" si="14"/>
        <v>0</v>
      </c>
      <c r="AI10">
        <f t="shared" si="15"/>
        <v>0</v>
      </c>
    </row>
    <row r="11" spans="1:35" ht="12.75" customHeight="1">
      <c r="A11" s="3">
        <f t="shared" si="16"/>
        <v>9</v>
      </c>
      <c r="B11" s="14" t="str">
        <f t="shared" si="17"/>
        <v>Matelen</v>
      </c>
      <c r="C11" s="28">
        <v>10</v>
      </c>
      <c r="D11" s="22" t="str">
        <f ca="1" t="shared" si="0"/>
        <v>Chris</v>
      </c>
      <c r="E11" s="28">
        <v>22</v>
      </c>
      <c r="F11" s="161" t="str">
        <f ca="1" t="shared" si="1"/>
        <v>Graham</v>
      </c>
      <c r="G11" s="33">
        <v>19</v>
      </c>
      <c r="H11" s="207" t="str">
        <f ca="1" t="shared" si="2"/>
        <v>Sarah E</v>
      </c>
      <c r="I11" s="28">
        <v>22</v>
      </c>
      <c r="L11" s="116">
        <f t="shared" si="3"/>
        <v>0.0006944444444444445</v>
      </c>
      <c r="M11">
        <f t="shared" si="18"/>
        <v>63</v>
      </c>
      <c r="N11" s="3" t="s">
        <v>5</v>
      </c>
      <c r="O11" s="5" t="s">
        <v>30</v>
      </c>
      <c r="P11" s="5">
        <f t="shared" si="19"/>
      </c>
      <c r="Q11" s="6">
        <f t="shared" si="8"/>
      </c>
      <c r="R11" s="5">
        <f t="shared" si="4"/>
        <v>63</v>
      </c>
      <c r="S11" s="6">
        <f t="shared" si="5"/>
        <v>13</v>
      </c>
      <c r="T11" s="5">
        <f t="shared" si="9"/>
        <v>5</v>
      </c>
      <c r="U11" s="9">
        <f t="shared" si="10"/>
        <v>0</v>
      </c>
      <c r="V11" s="6">
        <f t="shared" si="11"/>
        <v>5</v>
      </c>
      <c r="AC11">
        <f t="shared" si="12"/>
        <v>0</v>
      </c>
      <c r="AE11">
        <f t="shared" si="13"/>
        <v>1</v>
      </c>
      <c r="AG11">
        <f t="shared" si="14"/>
        <v>0</v>
      </c>
      <c r="AI11">
        <f t="shared" si="15"/>
        <v>1</v>
      </c>
    </row>
    <row r="12" spans="1:35" ht="12.75" customHeight="1">
      <c r="A12" s="3">
        <f t="shared" si="16"/>
        <v>10</v>
      </c>
      <c r="B12" s="14" t="str">
        <f t="shared" si="17"/>
        <v>Steve</v>
      </c>
      <c r="C12" s="28">
        <v>18</v>
      </c>
      <c r="D12" s="22" t="str">
        <f ca="1" t="shared" si="0"/>
        <v>Sarah E</v>
      </c>
      <c r="E12" s="28">
        <v>21</v>
      </c>
      <c r="F12" s="161" t="str">
        <f ca="1" t="shared" si="1"/>
        <v>Matelen</v>
      </c>
      <c r="G12" s="33">
        <v>17</v>
      </c>
      <c r="H12" s="207" t="str">
        <f ca="1" t="shared" si="2"/>
        <v>Graham</v>
      </c>
      <c r="I12" s="28">
        <v>19</v>
      </c>
      <c r="L12" s="116">
        <f t="shared" si="3"/>
        <v>0.0006944444444444445</v>
      </c>
      <c r="M12">
        <f t="shared" si="18"/>
        <v>77</v>
      </c>
      <c r="N12" s="3" t="s">
        <v>5</v>
      </c>
      <c r="O12" s="5" t="s">
        <v>115</v>
      </c>
      <c r="P12" s="5">
        <f t="shared" si="19"/>
      </c>
      <c r="Q12" s="6">
        <f t="shared" si="8"/>
      </c>
      <c r="R12" s="5">
        <f t="shared" si="4"/>
        <v>77</v>
      </c>
      <c r="S12" s="6">
        <f t="shared" si="5"/>
        <v>10</v>
      </c>
      <c r="T12" s="5">
        <f t="shared" si="9"/>
        <v>8</v>
      </c>
      <c r="U12" s="51">
        <f t="shared" si="10"/>
        <v>0</v>
      </c>
      <c r="V12" s="6">
        <f t="shared" si="11"/>
        <v>8</v>
      </c>
      <c r="AC12">
        <f t="shared" si="12"/>
        <v>0</v>
      </c>
      <c r="AE12">
        <f t="shared" si="13"/>
        <v>1</v>
      </c>
      <c r="AG12">
        <f t="shared" si="14"/>
        <v>0</v>
      </c>
      <c r="AI12">
        <f t="shared" si="15"/>
        <v>0</v>
      </c>
    </row>
    <row r="13" spans="1:35" ht="12.75" customHeight="1">
      <c r="A13" s="3">
        <f t="shared" si="16"/>
        <v>11</v>
      </c>
      <c r="B13" s="14" t="str">
        <f t="shared" si="17"/>
        <v>Hayley</v>
      </c>
      <c r="C13" s="28">
        <v>18</v>
      </c>
      <c r="D13" s="22" t="str">
        <f ca="1" t="shared" si="0"/>
        <v>Graham</v>
      </c>
      <c r="E13" s="28">
        <v>20</v>
      </c>
      <c r="F13" s="161" t="str">
        <f ca="1" t="shared" si="1"/>
        <v>Steve</v>
      </c>
      <c r="G13" s="33">
        <v>18</v>
      </c>
      <c r="H13" s="207" t="str">
        <f ca="1" t="shared" si="2"/>
        <v>Matelen</v>
      </c>
      <c r="I13" s="28">
        <v>17</v>
      </c>
      <c r="L13" s="116">
        <f t="shared" si="3"/>
        <v>0.0006944444444444445</v>
      </c>
      <c r="M13">
        <f t="shared" si="18"/>
        <v>78</v>
      </c>
      <c r="N13" s="3" t="s">
        <v>5</v>
      </c>
      <c r="O13" s="5" t="s">
        <v>33</v>
      </c>
      <c r="P13" s="5">
        <f t="shared" si="19"/>
      </c>
      <c r="Q13" s="6">
        <f t="shared" si="8"/>
      </c>
      <c r="R13" s="5">
        <f t="shared" si="4"/>
        <v>78</v>
      </c>
      <c r="S13" s="6">
        <f t="shared" si="5"/>
        <v>9</v>
      </c>
      <c r="T13" s="5">
        <f t="shared" si="9"/>
        <v>9</v>
      </c>
      <c r="U13" s="51">
        <f t="shared" si="10"/>
        <v>0</v>
      </c>
      <c r="V13" s="6">
        <f t="shared" si="11"/>
        <v>9</v>
      </c>
      <c r="AC13">
        <f t="shared" si="12"/>
        <v>0</v>
      </c>
      <c r="AE13">
        <f t="shared" si="13"/>
        <v>1</v>
      </c>
      <c r="AG13">
        <f t="shared" si="14"/>
        <v>0</v>
      </c>
      <c r="AI13">
        <f t="shared" si="15"/>
        <v>0</v>
      </c>
    </row>
    <row r="14" spans="1:35" ht="12.75" customHeight="1">
      <c r="A14" s="3">
        <f t="shared" si="16"/>
        <v>12</v>
      </c>
      <c r="B14" s="14" t="str">
        <f t="shared" si="17"/>
        <v>Tracey</v>
      </c>
      <c r="C14" s="28">
        <v>23</v>
      </c>
      <c r="D14" s="22" t="str">
        <f ca="1" t="shared" si="0"/>
        <v>Matelen</v>
      </c>
      <c r="E14" s="28">
        <v>19</v>
      </c>
      <c r="F14" s="161" t="str">
        <f ca="1" t="shared" si="1"/>
        <v>Hayley</v>
      </c>
      <c r="G14" s="33">
        <v>22</v>
      </c>
      <c r="H14" s="207" t="str">
        <f ca="1" t="shared" si="2"/>
        <v>Steve</v>
      </c>
      <c r="I14" s="28">
        <v>19</v>
      </c>
      <c r="L14" s="116">
        <f t="shared" si="3"/>
        <v>0.0006944444444444445</v>
      </c>
      <c r="M14">
        <f t="shared" si="18"/>
        <v>96</v>
      </c>
      <c r="N14" s="3" t="s">
        <v>4</v>
      </c>
      <c r="O14" s="5" t="s">
        <v>23</v>
      </c>
      <c r="P14" s="5">
        <f t="shared" si="19"/>
        <v>96</v>
      </c>
      <c r="Q14" s="6">
        <f t="shared" si="8"/>
        <v>2</v>
      </c>
      <c r="R14" s="5">
        <f t="shared" si="4"/>
      </c>
      <c r="S14" s="6">
        <f t="shared" si="5"/>
      </c>
      <c r="T14" s="5">
        <f t="shared" si="9"/>
        <v>17</v>
      </c>
      <c r="U14" s="51">
        <f t="shared" si="10"/>
        <v>4</v>
      </c>
      <c r="V14" s="6">
        <f t="shared" si="11"/>
        <v>21</v>
      </c>
      <c r="AC14">
        <f t="shared" si="12"/>
        <v>1</v>
      </c>
      <c r="AE14">
        <f t="shared" si="13"/>
        <v>0</v>
      </c>
      <c r="AG14">
        <f t="shared" si="14"/>
        <v>0</v>
      </c>
      <c r="AI14">
        <f t="shared" si="15"/>
        <v>0</v>
      </c>
    </row>
    <row r="15" spans="1:35" ht="12.75" customHeight="1">
      <c r="A15" s="3">
        <f t="shared" si="16"/>
        <v>13</v>
      </c>
      <c r="B15" s="14" t="str">
        <f t="shared" si="17"/>
        <v>Ben</v>
      </c>
      <c r="C15" s="28">
        <v>23</v>
      </c>
      <c r="D15" s="22" t="str">
        <f ca="1" t="shared" si="0"/>
        <v>Steve</v>
      </c>
      <c r="E15" s="28">
        <v>22</v>
      </c>
      <c r="F15" s="161" t="str">
        <f ca="1" t="shared" si="1"/>
        <v>Tracey</v>
      </c>
      <c r="G15" s="33">
        <v>23</v>
      </c>
      <c r="H15" s="207" t="str">
        <f ca="1" t="shared" si="2"/>
        <v>Hayley</v>
      </c>
      <c r="I15" s="28">
        <v>19</v>
      </c>
      <c r="L15" s="116">
        <f t="shared" si="3"/>
        <v>0.0006944444444444445</v>
      </c>
      <c r="M15">
        <f aca="true" t="shared" si="20" ref="M15:M20">IF(O15="","",IF(N15=P$1,P15,R15))</f>
        <v>93</v>
      </c>
      <c r="N15" s="3" t="s">
        <v>5</v>
      </c>
      <c r="O15" s="5" t="s">
        <v>31</v>
      </c>
      <c r="P15" s="5">
        <f t="shared" si="19"/>
      </c>
      <c r="Q15" s="6">
        <f t="shared" si="8"/>
      </c>
      <c r="R15" s="5">
        <f aca="true" t="shared" si="21" ref="R15:R20">IF($O15&gt;" ",IF(OR(R$1="",R$1=$N15),0+INDEX($C$3:$C$32,MATCH($O15,$B$3:$B$32,0),1)+INDEX($E$3:$E$32,MATCH($O15,$D$3:$D$32,0),1)+INDEX($G$3:$G$32,MATCH($O15,$F$3:$F$32,0),1)+INDEX($I$3:$I$32,MATCH($O15,$H$3:$H$32,0),1),""),"")</f>
        <v>93</v>
      </c>
      <c r="S15" s="6">
        <f t="shared" si="5"/>
        <v>2</v>
      </c>
      <c r="T15" s="5">
        <f aca="true" t="shared" si="22" ref="T15:T20">IF(N15="","",IF(N15=$P$1,IF(Q15=1,20,IF(Q15=2,17,18-Q15)),IF(S15=1,20,IF(S15=2,17,18-S15))))</f>
        <v>17</v>
      </c>
      <c r="U15" s="9">
        <f aca="true" t="shared" si="23" ref="U15:U20">IF($O15="","",0+INDEX($AC$3:$AC$32,MATCH($O15,$B$3:$B$32,0),1)+INDEX($AE$3:$AE$32,MATCH($O15,$D$3:$D$32,0),1)+INDEX($AG$3:$AG$32,MATCH($O15,$F$3:$F$32,0),1)+INDEX($AI$3:$AI$32,MATCH($O15,$H$3:$H$32,0),1))</f>
        <v>2</v>
      </c>
      <c r="V15" s="6">
        <f aca="true" t="shared" si="24" ref="V15:V20">IF(O15="","",T15+U15)</f>
        <v>19</v>
      </c>
      <c r="AC15">
        <f t="shared" si="12"/>
        <v>1</v>
      </c>
      <c r="AE15">
        <f t="shared" si="13"/>
        <v>0</v>
      </c>
      <c r="AG15">
        <f t="shared" si="14"/>
        <v>1</v>
      </c>
      <c r="AI15">
        <f t="shared" si="15"/>
        <v>0</v>
      </c>
    </row>
    <row r="16" spans="1:35" ht="12.75" customHeight="1">
      <c r="A16" s="3">
        <f t="shared" si="16"/>
        <v>14</v>
      </c>
      <c r="B16" s="14" t="str">
        <f t="shared" si="17"/>
        <v>Bill</v>
      </c>
      <c r="C16" s="28">
        <v>20</v>
      </c>
      <c r="D16" s="22" t="str">
        <f ca="1" t="shared" si="0"/>
        <v>Hayley</v>
      </c>
      <c r="E16" s="28">
        <v>19</v>
      </c>
      <c r="F16" s="161" t="str">
        <f ca="1" t="shared" si="1"/>
        <v>Ben</v>
      </c>
      <c r="G16" s="33">
        <v>24</v>
      </c>
      <c r="H16" s="207" t="str">
        <f ca="1" t="shared" si="2"/>
        <v>Tracey</v>
      </c>
      <c r="I16" s="28">
        <v>26</v>
      </c>
      <c r="L16" s="116">
        <f t="shared" si="3"/>
        <v>0.0006944444444444445</v>
      </c>
      <c r="M16">
        <f t="shared" si="20"/>
        <v>85</v>
      </c>
      <c r="N16" s="3" t="s">
        <v>5</v>
      </c>
      <c r="O16" s="5" t="s">
        <v>44</v>
      </c>
      <c r="P16" s="5">
        <f t="shared" si="19"/>
      </c>
      <c r="Q16" s="6">
        <f t="shared" si="8"/>
      </c>
      <c r="R16" s="5">
        <f t="shared" si="21"/>
        <v>85</v>
      </c>
      <c r="S16" s="6">
        <f t="shared" si="5"/>
        <v>5</v>
      </c>
      <c r="T16" s="5">
        <f t="shared" si="22"/>
        <v>13</v>
      </c>
      <c r="U16" s="51">
        <f t="shared" si="23"/>
        <v>0</v>
      </c>
      <c r="V16" s="6">
        <f t="shared" si="24"/>
        <v>13</v>
      </c>
      <c r="AC16">
        <f t="shared" si="12"/>
        <v>0</v>
      </c>
      <c r="AE16">
        <f t="shared" si="13"/>
        <v>0</v>
      </c>
      <c r="AG16">
        <f t="shared" si="14"/>
        <v>0</v>
      </c>
      <c r="AI16">
        <f t="shared" si="15"/>
        <v>1</v>
      </c>
    </row>
    <row r="17" spans="1:35" ht="12.75" customHeight="1">
      <c r="A17" s="3">
        <f t="shared" si="16"/>
        <v>15</v>
      </c>
      <c r="B17" s="14" t="str">
        <f t="shared" si="17"/>
        <v>Garth</v>
      </c>
      <c r="C17" s="28">
        <v>19</v>
      </c>
      <c r="D17" s="22" t="str">
        <f ca="1" t="shared" si="0"/>
        <v>Tracey</v>
      </c>
      <c r="E17" s="28">
        <v>24</v>
      </c>
      <c r="F17" s="161" t="str">
        <f ca="1" t="shared" si="1"/>
        <v>Bill</v>
      </c>
      <c r="G17" s="33">
        <v>23</v>
      </c>
      <c r="H17" s="207" t="str">
        <f ca="1" t="shared" si="2"/>
        <v>Ben</v>
      </c>
      <c r="I17" s="28">
        <v>21</v>
      </c>
      <c r="L17" s="116">
        <f t="shared" si="3"/>
        <v>0.0006944444444444445</v>
      </c>
      <c r="M17">
        <f t="shared" si="20"/>
        <v>87</v>
      </c>
      <c r="N17" s="3" t="s">
        <v>5</v>
      </c>
      <c r="O17" s="5" t="s">
        <v>27</v>
      </c>
      <c r="P17" s="5">
        <f t="shared" si="19"/>
      </c>
      <c r="Q17" s="6">
        <f t="shared" si="8"/>
      </c>
      <c r="R17" s="5">
        <f t="shared" si="21"/>
        <v>87</v>
      </c>
      <c r="S17" s="6">
        <f t="shared" si="5"/>
        <v>3</v>
      </c>
      <c r="T17" s="5">
        <f t="shared" si="22"/>
        <v>15</v>
      </c>
      <c r="U17" s="51">
        <f t="shared" si="23"/>
        <v>1</v>
      </c>
      <c r="V17" s="6">
        <f t="shared" si="24"/>
        <v>16</v>
      </c>
      <c r="AC17">
        <f t="shared" si="12"/>
        <v>0</v>
      </c>
      <c r="AE17">
        <f t="shared" si="13"/>
        <v>1</v>
      </c>
      <c r="AG17">
        <f t="shared" si="14"/>
        <v>0</v>
      </c>
      <c r="AI17">
        <f t="shared" si="15"/>
        <v>0</v>
      </c>
    </row>
    <row r="18" spans="1:35" ht="12.75" customHeight="1">
      <c r="A18" s="3">
        <f t="shared" si="16"/>
        <v>16</v>
      </c>
      <c r="B18" s="14" t="str">
        <f t="shared" si="17"/>
        <v>Karl</v>
      </c>
      <c r="C18" s="28">
        <v>25</v>
      </c>
      <c r="D18" s="22" t="str">
        <f aca="true" ca="1" t="shared" si="25" ref="D18:D32">IF($A18="","",IF($A18&gt;E$1,INDIRECT("B"&amp;$A18-E$1+2,TRUE),INDIRECT("B"&amp;$O$1-E$1+$A18+2,TRUE)))</f>
        <v>Ben</v>
      </c>
      <c r="E18" s="28">
        <v>25</v>
      </c>
      <c r="F18" s="161" t="str">
        <f aca="true" ca="1" t="shared" si="26" ref="F18:F32">IF($A18="","",IF($A18&gt;G$1,INDIRECT("B"&amp;$A18-G$1+2,TRUE),INDIRECT("B"&amp;$O$1-G$1+$A18+2,TRUE)))</f>
        <v>Garth</v>
      </c>
      <c r="G18" s="33">
        <v>22</v>
      </c>
      <c r="H18" s="207" t="str">
        <f aca="true" ca="1" t="shared" si="27" ref="H18:H32">IF($A18="","",IF($A18&gt;I$1,INDIRECT("B"&amp;$A18-I$1+2,TRUE),INDIRECT("B"&amp;$O$1-I$1+$A18+2,TRUE)))</f>
        <v>Bill</v>
      </c>
      <c r="I18" s="28">
        <v>20</v>
      </c>
      <c r="L18" s="116">
        <f t="shared" si="3"/>
        <v>0.0006944444444444445</v>
      </c>
      <c r="M18">
        <f t="shared" si="20"/>
        <v>98</v>
      </c>
      <c r="N18" s="3" t="s">
        <v>4</v>
      </c>
      <c r="O18" s="5" t="s">
        <v>10</v>
      </c>
      <c r="P18" s="5">
        <f t="shared" si="19"/>
        <v>98</v>
      </c>
      <c r="Q18" s="6">
        <f t="shared" si="8"/>
        <v>1</v>
      </c>
      <c r="R18" s="5">
        <f t="shared" si="21"/>
      </c>
      <c r="S18" s="6">
        <f t="shared" si="5"/>
      </c>
      <c r="T18" s="5">
        <f t="shared" si="22"/>
        <v>20</v>
      </c>
      <c r="U18" s="51">
        <f t="shared" si="23"/>
        <v>3</v>
      </c>
      <c r="V18" s="6">
        <f t="shared" si="24"/>
        <v>23</v>
      </c>
      <c r="AC18">
        <f t="shared" si="12"/>
        <v>1</v>
      </c>
      <c r="AE18">
        <f t="shared" si="13"/>
        <v>1</v>
      </c>
      <c r="AG18">
        <f t="shared" si="14"/>
        <v>0</v>
      </c>
      <c r="AI18">
        <f t="shared" si="15"/>
        <v>0</v>
      </c>
    </row>
    <row r="19" spans="1:35" ht="12.75" customHeight="1">
      <c r="A19" s="3">
        <f t="shared" si="16"/>
        <v>17</v>
      </c>
      <c r="B19" s="14" t="str">
        <f t="shared" si="17"/>
        <v>Cam</v>
      </c>
      <c r="C19" s="28">
        <v>18</v>
      </c>
      <c r="D19" s="22" t="str">
        <f ca="1" t="shared" si="25"/>
        <v>Bill</v>
      </c>
      <c r="E19" s="28">
        <v>22</v>
      </c>
      <c r="F19" s="161" t="str">
        <f ca="1" t="shared" si="26"/>
        <v>Karl</v>
      </c>
      <c r="G19" s="33">
        <v>23</v>
      </c>
      <c r="H19" s="207" t="str">
        <f ca="1" t="shared" si="27"/>
        <v>Garth</v>
      </c>
      <c r="I19" s="28">
        <v>25</v>
      </c>
      <c r="L19" s="116">
        <f t="shared" si="3"/>
        <v>0.0006944444444444445</v>
      </c>
      <c r="M19">
        <f t="shared" si="20"/>
        <v>79</v>
      </c>
      <c r="N19" s="3" t="s">
        <v>4</v>
      </c>
      <c r="O19" s="5" t="s">
        <v>9</v>
      </c>
      <c r="P19" s="5">
        <f t="shared" si="19"/>
        <v>79</v>
      </c>
      <c r="Q19" s="6">
        <f t="shared" si="8"/>
        <v>4</v>
      </c>
      <c r="R19" s="5">
        <f t="shared" si="21"/>
      </c>
      <c r="S19" s="6">
        <f t="shared" si="5"/>
      </c>
      <c r="T19" s="5">
        <f t="shared" si="22"/>
        <v>14</v>
      </c>
      <c r="U19" s="51">
        <f t="shared" si="23"/>
        <v>0</v>
      </c>
      <c r="V19" s="6">
        <f t="shared" si="24"/>
        <v>14</v>
      </c>
      <c r="AC19">
        <f t="shared" si="12"/>
        <v>0</v>
      </c>
      <c r="AE19">
        <f t="shared" si="13"/>
        <v>0</v>
      </c>
      <c r="AG19">
        <f t="shared" si="14"/>
        <v>0</v>
      </c>
      <c r="AI19">
        <f t="shared" si="15"/>
        <v>1</v>
      </c>
    </row>
    <row r="20" spans="1:35" ht="12.75" customHeight="1">
      <c r="A20" s="3">
        <f t="shared" si="16"/>
      </c>
      <c r="B20" s="14">
        <f t="shared" si="17"/>
      </c>
      <c r="C20" s="28"/>
      <c r="D20" s="22">
        <f ca="1" t="shared" si="25"/>
      </c>
      <c r="E20" s="28"/>
      <c r="F20" s="161">
        <f ca="1" t="shared" si="26"/>
      </c>
      <c r="G20" s="33"/>
      <c r="H20" s="207">
        <f ca="1" t="shared" si="27"/>
      </c>
      <c r="I20" s="28"/>
      <c r="L20" s="116">
        <f t="shared" si="3"/>
        <v>0.0006944444444444445</v>
      </c>
      <c r="M20">
        <f t="shared" si="20"/>
      </c>
      <c r="N20" s="3"/>
      <c r="O20" s="5"/>
      <c r="P20" s="5">
        <f t="shared" si="19"/>
      </c>
      <c r="Q20" s="6">
        <f t="shared" si="8"/>
      </c>
      <c r="R20" s="5">
        <f t="shared" si="21"/>
      </c>
      <c r="S20" s="6">
        <f t="shared" si="5"/>
      </c>
      <c r="T20" s="5">
        <f t="shared" si="22"/>
      </c>
      <c r="U20" s="9">
        <f t="shared" si="23"/>
      </c>
      <c r="V20" s="6">
        <f t="shared" si="24"/>
      </c>
      <c r="AC20">
        <f t="shared" si="12"/>
      </c>
      <c r="AE20">
        <f t="shared" si="13"/>
      </c>
      <c r="AG20">
        <f t="shared" si="14"/>
      </c>
      <c r="AI20">
        <f t="shared" si="15"/>
      </c>
    </row>
    <row r="21" spans="1:35" ht="12.75" customHeight="1">
      <c r="A21" s="3">
        <f t="shared" si="16"/>
      </c>
      <c r="B21" s="14">
        <f t="shared" si="6"/>
      </c>
      <c r="C21" s="28"/>
      <c r="D21" s="22">
        <f ca="1" t="shared" si="25"/>
      </c>
      <c r="E21" s="28"/>
      <c r="F21" s="161">
        <f ca="1" t="shared" si="26"/>
      </c>
      <c r="G21" s="33"/>
      <c r="H21" s="207">
        <f ca="1" t="shared" si="27"/>
      </c>
      <c r="I21" s="28"/>
      <c r="L21" s="116">
        <f t="shared" si="3"/>
        <v>0.0006944444444444445</v>
      </c>
      <c r="M21">
        <f t="shared" si="18"/>
      </c>
      <c r="N21" s="3"/>
      <c r="O21" s="5"/>
      <c r="P21" s="5">
        <f t="shared" si="7"/>
      </c>
      <c r="Q21" s="6">
        <f t="shared" si="8"/>
      </c>
      <c r="R21" s="5">
        <f t="shared" si="4"/>
      </c>
      <c r="S21" s="6">
        <f t="shared" si="5"/>
      </c>
      <c r="T21" s="5">
        <f t="shared" si="9"/>
      </c>
      <c r="U21" s="51">
        <f t="shared" si="10"/>
      </c>
      <c r="V21" s="6">
        <f t="shared" si="11"/>
      </c>
      <c r="AC21">
        <f t="shared" si="12"/>
      </c>
      <c r="AE21">
        <f t="shared" si="13"/>
      </c>
      <c r="AG21">
        <f t="shared" si="14"/>
      </c>
      <c r="AI21">
        <f t="shared" si="15"/>
      </c>
    </row>
    <row r="22" spans="1:35" ht="12.75" customHeight="1">
      <c r="A22" s="3">
        <f>IF(B22="","",A13+1)</f>
      </c>
      <c r="B22" s="14">
        <f t="shared" si="6"/>
      </c>
      <c r="C22" s="28"/>
      <c r="D22" s="22">
        <f ca="1" t="shared" si="25"/>
      </c>
      <c r="E22" s="28"/>
      <c r="F22" s="161">
        <f ca="1" t="shared" si="26"/>
      </c>
      <c r="G22" s="33"/>
      <c r="H22" s="207">
        <f ca="1" t="shared" si="27"/>
      </c>
      <c r="I22" s="28"/>
      <c r="L22" s="116">
        <f t="shared" si="3"/>
        <v>0.0006944444444444445</v>
      </c>
      <c r="M22">
        <f t="shared" si="18"/>
      </c>
      <c r="N22" s="3"/>
      <c r="O22" s="5"/>
      <c r="P22" s="5">
        <f t="shared" si="7"/>
      </c>
      <c r="Q22" s="6">
        <f t="shared" si="8"/>
      </c>
      <c r="R22" s="5">
        <f t="shared" si="4"/>
      </c>
      <c r="S22" s="6">
        <f t="shared" si="5"/>
      </c>
      <c r="T22" s="5">
        <f t="shared" si="9"/>
      </c>
      <c r="U22" s="51">
        <f t="shared" si="10"/>
      </c>
      <c r="V22" s="6">
        <f t="shared" si="11"/>
      </c>
      <c r="AC22">
        <f t="shared" si="12"/>
      </c>
      <c r="AE22">
        <f t="shared" si="13"/>
      </c>
      <c r="AG22">
        <f t="shared" si="14"/>
      </c>
      <c r="AI22">
        <f t="shared" si="15"/>
      </c>
    </row>
    <row r="23" spans="1:35" ht="12.75" customHeight="1">
      <c r="A23" s="3">
        <f>IF(B23="","",A14+1)</f>
      </c>
      <c r="B23" s="14">
        <f t="shared" si="6"/>
      </c>
      <c r="C23" s="28"/>
      <c r="D23" s="22">
        <f ca="1" t="shared" si="25"/>
      </c>
      <c r="E23" s="28"/>
      <c r="F23" s="161">
        <f ca="1" t="shared" si="26"/>
      </c>
      <c r="G23" s="33"/>
      <c r="H23" s="207">
        <f ca="1" t="shared" si="27"/>
      </c>
      <c r="I23" s="28"/>
      <c r="L23" s="116">
        <f t="shared" si="3"/>
        <v>0.0006944444444444445</v>
      </c>
      <c r="M23">
        <f t="shared" si="18"/>
      </c>
      <c r="N23" s="3"/>
      <c r="O23" s="5"/>
      <c r="P23" s="5">
        <f t="shared" si="7"/>
      </c>
      <c r="Q23" s="6">
        <f t="shared" si="8"/>
      </c>
      <c r="R23" s="5">
        <f t="shared" si="4"/>
      </c>
      <c r="S23" s="6">
        <f t="shared" si="5"/>
      </c>
      <c r="T23" s="5">
        <f t="shared" si="9"/>
      </c>
      <c r="U23" s="51">
        <f t="shared" si="10"/>
      </c>
      <c r="V23" s="6">
        <f t="shared" si="11"/>
      </c>
      <c r="AC23">
        <f t="shared" si="12"/>
      </c>
      <c r="AE23">
        <f t="shared" si="13"/>
      </c>
      <c r="AG23">
        <f t="shared" si="14"/>
      </c>
      <c r="AI23">
        <f t="shared" si="15"/>
      </c>
    </row>
    <row r="24" spans="1:35" ht="12.75" customHeight="1">
      <c r="A24" s="3">
        <f>IF(B24="","",A15+1)</f>
      </c>
      <c r="B24" s="14">
        <f t="shared" si="6"/>
      </c>
      <c r="C24" s="28"/>
      <c r="D24" s="22">
        <f ca="1" t="shared" si="25"/>
      </c>
      <c r="E24" s="28"/>
      <c r="F24" s="161">
        <f ca="1" t="shared" si="26"/>
      </c>
      <c r="G24" s="33"/>
      <c r="H24" s="207">
        <f ca="1" t="shared" si="27"/>
      </c>
      <c r="I24" s="28"/>
      <c r="L24" s="116">
        <f t="shared" si="3"/>
        <v>0.0006944444444444445</v>
      </c>
      <c r="M24">
        <f t="shared" si="18"/>
      </c>
      <c r="N24" s="3"/>
      <c r="O24" s="5"/>
      <c r="P24" s="5">
        <f t="shared" si="7"/>
      </c>
      <c r="Q24" s="6">
        <f t="shared" si="8"/>
      </c>
      <c r="R24" s="5">
        <f t="shared" si="4"/>
      </c>
      <c r="S24" s="6">
        <f t="shared" si="5"/>
      </c>
      <c r="T24" s="5">
        <f t="shared" si="9"/>
      </c>
      <c r="U24" s="51">
        <f t="shared" si="10"/>
      </c>
      <c r="V24" s="6">
        <f t="shared" si="11"/>
      </c>
      <c r="AC24">
        <f t="shared" si="12"/>
      </c>
      <c r="AE24">
        <f t="shared" si="13"/>
      </c>
      <c r="AG24">
        <f t="shared" si="14"/>
      </c>
      <c r="AI24">
        <f t="shared" si="15"/>
      </c>
    </row>
    <row r="25" spans="1:35" ht="12.75" customHeight="1">
      <c r="A25" s="3">
        <f>IF(B25="","",A16+1)</f>
      </c>
      <c r="B25" s="14">
        <f t="shared" si="6"/>
      </c>
      <c r="C25" s="28"/>
      <c r="D25" s="22">
        <f ca="1" t="shared" si="25"/>
      </c>
      <c r="E25" s="28"/>
      <c r="F25" s="161">
        <f ca="1" t="shared" si="26"/>
      </c>
      <c r="G25" s="33"/>
      <c r="H25" s="207">
        <f ca="1" t="shared" si="27"/>
      </c>
      <c r="I25" s="28"/>
      <c r="L25" s="116">
        <f t="shared" si="3"/>
        <v>0.0006944444444444445</v>
      </c>
      <c r="M25">
        <f t="shared" si="18"/>
      </c>
      <c r="N25" s="3"/>
      <c r="O25" s="5"/>
      <c r="P25" s="5">
        <f t="shared" si="7"/>
      </c>
      <c r="Q25" s="6">
        <f t="shared" si="8"/>
      </c>
      <c r="R25" s="5">
        <f t="shared" si="4"/>
      </c>
      <c r="S25" s="6">
        <f t="shared" si="5"/>
      </c>
      <c r="T25" s="5">
        <f t="shared" si="9"/>
      </c>
      <c r="U25" s="51">
        <f t="shared" si="10"/>
      </c>
      <c r="V25" s="6">
        <f t="shared" si="11"/>
      </c>
      <c r="AC25">
        <f t="shared" si="12"/>
      </c>
      <c r="AE25">
        <f t="shared" si="13"/>
      </c>
      <c r="AG25">
        <f t="shared" si="14"/>
      </c>
      <c r="AI25">
        <f t="shared" si="15"/>
      </c>
    </row>
    <row r="26" spans="1:35" ht="12.75" customHeight="1">
      <c r="A26" s="3">
        <f>IF(B26="","",A17+1)</f>
      </c>
      <c r="B26" s="14">
        <f t="shared" si="6"/>
      </c>
      <c r="C26" s="28"/>
      <c r="D26" s="22">
        <f ca="1" t="shared" si="25"/>
      </c>
      <c r="E26" s="28"/>
      <c r="F26" s="161">
        <f ca="1" t="shared" si="26"/>
      </c>
      <c r="G26" s="33"/>
      <c r="H26" s="207">
        <f ca="1" t="shared" si="27"/>
      </c>
      <c r="I26" s="28"/>
      <c r="L26" s="116">
        <f t="shared" si="3"/>
        <v>0.0006944444444444445</v>
      </c>
      <c r="M26">
        <f t="shared" si="18"/>
      </c>
      <c r="N26" s="3"/>
      <c r="O26" s="5"/>
      <c r="P26" s="5">
        <f t="shared" si="7"/>
      </c>
      <c r="Q26" s="6">
        <f t="shared" si="8"/>
      </c>
      <c r="R26" s="5">
        <f t="shared" si="4"/>
      </c>
      <c r="S26" s="6">
        <f t="shared" si="5"/>
      </c>
      <c r="T26" s="5">
        <f t="shared" si="9"/>
      </c>
      <c r="U26" s="51">
        <f t="shared" si="10"/>
      </c>
      <c r="V26" s="6">
        <f t="shared" si="11"/>
      </c>
      <c r="AC26">
        <f t="shared" si="12"/>
      </c>
      <c r="AE26">
        <f t="shared" si="13"/>
      </c>
      <c r="AG26">
        <f t="shared" si="14"/>
      </c>
      <c r="AI26">
        <f t="shared" si="15"/>
      </c>
    </row>
    <row r="27" spans="1:35" ht="12.75" customHeight="1">
      <c r="A27" s="3">
        <f aca="true" t="shared" si="28" ref="A27:A32">IF(B27="","",A18+1)</f>
      </c>
      <c r="B27" s="14">
        <f aca="true" t="shared" si="29" ref="B27:B32">IF(O27="","",O27)</f>
      </c>
      <c r="C27" s="28"/>
      <c r="D27" s="22">
        <f ca="1" t="shared" si="25"/>
      </c>
      <c r="E27" s="28"/>
      <c r="F27" s="161">
        <f ca="1" t="shared" si="26"/>
      </c>
      <c r="G27" s="33"/>
      <c r="H27" s="207">
        <f ca="1" t="shared" si="27"/>
      </c>
      <c r="I27" s="28"/>
      <c r="L27" s="116">
        <f t="shared" si="3"/>
        <v>0.0006944444444444445</v>
      </c>
      <c r="M27">
        <f t="shared" si="18"/>
      </c>
      <c r="N27" s="3"/>
      <c r="O27" s="5"/>
      <c r="P27" s="5">
        <f t="shared" si="7"/>
      </c>
      <c r="Q27" s="6">
        <f t="shared" si="8"/>
      </c>
      <c r="R27" s="5">
        <f t="shared" si="4"/>
      </c>
      <c r="S27" s="6">
        <f t="shared" si="5"/>
      </c>
      <c r="T27" s="5">
        <f aca="true" t="shared" si="30" ref="T27:T32">IF(N27="","",IF(N27=$P$1,IF(Q27=1,20,IF(Q27=2,17,18-Q27)),IF(S27=1,20,IF(S27=2,17,18-S27))))</f>
      </c>
      <c r="U27" s="51">
        <f t="shared" si="10"/>
      </c>
      <c r="V27" s="6">
        <f t="shared" si="11"/>
      </c>
      <c r="AC27">
        <f t="shared" si="12"/>
      </c>
      <c r="AE27">
        <f t="shared" si="13"/>
      </c>
      <c r="AG27">
        <f t="shared" si="14"/>
      </c>
      <c r="AI27">
        <f t="shared" si="15"/>
      </c>
    </row>
    <row r="28" spans="1:35" ht="12.75" customHeight="1">
      <c r="A28" s="3">
        <f t="shared" si="28"/>
      </c>
      <c r="B28" s="14">
        <f t="shared" si="29"/>
      </c>
      <c r="C28" s="28"/>
      <c r="D28" s="22">
        <f ca="1" t="shared" si="25"/>
      </c>
      <c r="E28" s="28"/>
      <c r="F28" s="161">
        <f ca="1" t="shared" si="26"/>
      </c>
      <c r="G28" s="33"/>
      <c r="H28" s="207">
        <f ca="1" t="shared" si="27"/>
      </c>
      <c r="I28" s="28"/>
      <c r="L28" s="116">
        <f t="shared" si="3"/>
        <v>0.0006944444444444445</v>
      </c>
      <c r="M28">
        <f t="shared" si="18"/>
      </c>
      <c r="N28" s="3"/>
      <c r="O28" s="5"/>
      <c r="P28" s="5">
        <f t="shared" si="7"/>
      </c>
      <c r="Q28" s="6">
        <f t="shared" si="8"/>
      </c>
      <c r="R28" s="5">
        <f t="shared" si="4"/>
      </c>
      <c r="S28" s="6">
        <f t="shared" si="5"/>
      </c>
      <c r="T28" s="5">
        <f t="shared" si="30"/>
      </c>
      <c r="U28" s="51">
        <f t="shared" si="10"/>
      </c>
      <c r="V28" s="6">
        <f t="shared" si="11"/>
      </c>
      <c r="AC28">
        <f t="shared" si="12"/>
      </c>
      <c r="AE28">
        <f t="shared" si="13"/>
      </c>
      <c r="AG28">
        <f t="shared" si="14"/>
      </c>
      <c r="AI28">
        <f t="shared" si="15"/>
      </c>
    </row>
    <row r="29" spans="1:35" ht="12.75" customHeight="1">
      <c r="A29" s="3">
        <f t="shared" si="28"/>
      </c>
      <c r="B29" s="14">
        <f t="shared" si="29"/>
      </c>
      <c r="C29" s="28"/>
      <c r="D29" s="22">
        <f ca="1" t="shared" si="25"/>
      </c>
      <c r="E29" s="28"/>
      <c r="F29" s="161">
        <f ca="1" t="shared" si="26"/>
      </c>
      <c r="G29" s="33"/>
      <c r="H29" s="207">
        <f ca="1" t="shared" si="27"/>
      </c>
      <c r="I29" s="28"/>
      <c r="L29" s="116">
        <f t="shared" si="3"/>
        <v>0.0006944444444444445</v>
      </c>
      <c r="M29">
        <f t="shared" si="18"/>
      </c>
      <c r="N29" s="3"/>
      <c r="O29" s="5"/>
      <c r="P29" s="5">
        <f t="shared" si="7"/>
      </c>
      <c r="Q29" s="6">
        <f t="shared" si="8"/>
      </c>
      <c r="R29" s="5">
        <f t="shared" si="4"/>
      </c>
      <c r="S29" s="6">
        <f t="shared" si="5"/>
      </c>
      <c r="T29" s="5">
        <f t="shared" si="30"/>
      </c>
      <c r="U29" s="51">
        <f t="shared" si="10"/>
      </c>
      <c r="V29" s="6">
        <f t="shared" si="11"/>
      </c>
      <c r="AC29">
        <f t="shared" si="12"/>
      </c>
      <c r="AE29">
        <f t="shared" si="13"/>
      </c>
      <c r="AG29">
        <f t="shared" si="14"/>
      </c>
      <c r="AI29">
        <f t="shared" si="15"/>
      </c>
    </row>
    <row r="30" spans="1:35" ht="12.75" customHeight="1">
      <c r="A30" s="3">
        <f t="shared" si="28"/>
      </c>
      <c r="B30" s="14">
        <f t="shared" si="29"/>
      </c>
      <c r="C30" s="28"/>
      <c r="D30" s="22">
        <f ca="1" t="shared" si="25"/>
      </c>
      <c r="E30" s="28"/>
      <c r="F30" s="161">
        <f ca="1" t="shared" si="26"/>
      </c>
      <c r="G30" s="33"/>
      <c r="H30" s="207">
        <f ca="1" t="shared" si="27"/>
      </c>
      <c r="I30" s="28"/>
      <c r="L30" s="116">
        <f t="shared" si="3"/>
        <v>0.0006944444444444445</v>
      </c>
      <c r="M30">
        <f t="shared" si="18"/>
      </c>
      <c r="N30" s="3"/>
      <c r="O30" s="5"/>
      <c r="P30" s="5">
        <f t="shared" si="7"/>
      </c>
      <c r="Q30" s="6">
        <f t="shared" si="8"/>
      </c>
      <c r="R30" s="5">
        <f t="shared" si="4"/>
      </c>
      <c r="S30" s="6">
        <f t="shared" si="5"/>
      </c>
      <c r="T30" s="5">
        <f t="shared" si="30"/>
      </c>
      <c r="U30" s="51">
        <f t="shared" si="10"/>
      </c>
      <c r="V30" s="6">
        <f t="shared" si="11"/>
      </c>
      <c r="AC30">
        <f t="shared" si="12"/>
      </c>
      <c r="AE30">
        <f t="shared" si="13"/>
      </c>
      <c r="AG30">
        <f t="shared" si="14"/>
      </c>
      <c r="AI30">
        <f t="shared" si="15"/>
      </c>
    </row>
    <row r="31" spans="1:35" ht="12.75" customHeight="1">
      <c r="A31" s="3">
        <f t="shared" si="28"/>
      </c>
      <c r="B31" s="14">
        <f t="shared" si="29"/>
      </c>
      <c r="C31" s="28"/>
      <c r="D31" s="22">
        <f ca="1" t="shared" si="25"/>
      </c>
      <c r="E31" s="28"/>
      <c r="F31" s="161">
        <f ca="1" t="shared" si="26"/>
      </c>
      <c r="G31" s="33"/>
      <c r="H31" s="207">
        <f ca="1" t="shared" si="27"/>
      </c>
      <c r="I31" s="28"/>
      <c r="L31" s="116">
        <f t="shared" si="3"/>
        <v>0.0006944444444444445</v>
      </c>
      <c r="M31">
        <f t="shared" si="18"/>
      </c>
      <c r="N31" s="3"/>
      <c r="O31" s="5"/>
      <c r="P31" s="5">
        <f t="shared" si="7"/>
      </c>
      <c r="Q31" s="6">
        <f t="shared" si="8"/>
      </c>
      <c r="R31" s="5">
        <f t="shared" si="4"/>
      </c>
      <c r="S31" s="6">
        <f t="shared" si="5"/>
      </c>
      <c r="T31" s="5">
        <f t="shared" si="30"/>
      </c>
      <c r="U31" s="51">
        <f t="shared" si="10"/>
      </c>
      <c r="V31" s="6">
        <f t="shared" si="11"/>
      </c>
      <c r="AC31">
        <f t="shared" si="12"/>
      </c>
      <c r="AE31">
        <f t="shared" si="13"/>
      </c>
      <c r="AG31">
        <f t="shared" si="14"/>
      </c>
      <c r="AI31">
        <f t="shared" si="15"/>
      </c>
    </row>
    <row r="32" spans="1:35" ht="12.75" customHeight="1">
      <c r="A32" s="10">
        <f t="shared" si="28"/>
      </c>
      <c r="B32" s="15">
        <f t="shared" si="29"/>
      </c>
      <c r="C32" s="29"/>
      <c r="D32" s="23">
        <f ca="1" t="shared" si="25"/>
      </c>
      <c r="E32" s="29"/>
      <c r="F32" s="203">
        <f ca="1" t="shared" si="26"/>
      </c>
      <c r="G32" s="36"/>
      <c r="H32" s="208">
        <f ca="1" t="shared" si="27"/>
      </c>
      <c r="I32" s="29"/>
      <c r="L32" s="116">
        <f t="shared" si="3"/>
        <v>0.0006944444444444445</v>
      </c>
      <c r="M32">
        <f t="shared" si="18"/>
      </c>
      <c r="N32" s="10"/>
      <c r="O32" s="7"/>
      <c r="P32" s="7">
        <f t="shared" si="7"/>
      </c>
      <c r="Q32" s="8">
        <f t="shared" si="8"/>
      </c>
      <c r="R32" s="7">
        <f t="shared" si="4"/>
      </c>
      <c r="S32" s="8">
        <f t="shared" si="5"/>
      </c>
      <c r="T32" s="7">
        <f t="shared" si="30"/>
      </c>
      <c r="U32" s="155">
        <f t="shared" si="10"/>
      </c>
      <c r="V32" s="8">
        <f t="shared" si="11"/>
      </c>
      <c r="AC32">
        <f t="shared" si="12"/>
      </c>
      <c r="AE32">
        <f t="shared" si="13"/>
      </c>
      <c r="AG32">
        <f t="shared" si="14"/>
      </c>
      <c r="AI32">
        <f t="shared" si="15"/>
      </c>
    </row>
    <row r="33" ht="12.75" customHeight="1">
      <c r="P33" t="s">
        <v>41</v>
      </c>
    </row>
    <row r="34" spans="1:9" ht="12.75">
      <c r="A34" s="9"/>
      <c r="B34" s="9"/>
      <c r="C34" s="9"/>
      <c r="D34" s="9"/>
      <c r="E34" s="9"/>
      <c r="F34" s="9"/>
      <c r="I34" t="s">
        <v>41</v>
      </c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ht="12.75">
      <c r="A38" s="9"/>
      <c r="B38" s="9"/>
      <c r="C38" s="9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</sheetData>
  <sheetProtection selectLockedCells="1"/>
  <mergeCells count="3">
    <mergeCell ref="T1:V1"/>
    <mergeCell ref="P1:Q1"/>
    <mergeCell ref="R1:S1"/>
  </mergeCells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FFFF"/>
  </sheetPr>
  <dimension ref="A1:AI40"/>
  <sheetViews>
    <sheetView zoomScalePageLayoutView="0" workbookViewId="0" topLeftCell="A1">
      <selection activeCell="N30" sqref="N30"/>
    </sheetView>
  </sheetViews>
  <sheetFormatPr defaultColWidth="9.140625" defaultRowHeight="12.75"/>
  <cols>
    <col min="10" max="12" width="9.140625" style="0" hidden="1" customWidth="1"/>
    <col min="13" max="13" width="15.00390625" style="0" hidden="1" customWidth="1"/>
    <col min="14" max="14" width="9.140625" style="60" customWidth="1"/>
  </cols>
  <sheetData>
    <row r="1" spans="1:26" ht="12.75">
      <c r="A1" s="1"/>
      <c r="B1" s="145" t="s">
        <v>89</v>
      </c>
      <c r="C1" s="50"/>
      <c r="D1" s="148" t="s">
        <v>90</v>
      </c>
      <c r="E1" s="48">
        <f>CEILING(O1*3/4,1)</f>
        <v>12</v>
      </c>
      <c r="F1" s="162" t="s">
        <v>91</v>
      </c>
      <c r="G1" s="202">
        <f>CEILING(O1/4,1)</f>
        <v>4</v>
      </c>
      <c r="H1" s="163" t="s">
        <v>92</v>
      </c>
      <c r="I1" s="209">
        <f>FLOOR(O1*2/4,1)</f>
        <v>7</v>
      </c>
      <c r="J1" s="37"/>
      <c r="K1" s="1"/>
      <c r="L1" s="141">
        <v>0.001388888888888889</v>
      </c>
      <c r="M1" s="1"/>
      <c r="N1" s="56">
        <v>0.0020833333333333333</v>
      </c>
      <c r="O1" s="1">
        <f>COUNTA(O3:O32)</f>
        <v>15</v>
      </c>
      <c r="P1" s="78"/>
      <c r="Q1">
        <f>IF(SUM(P3:P32)&gt;0,MEDIAN(P3:P32),"")</f>
        <v>127</v>
      </c>
      <c r="R1" s="53"/>
      <c r="S1" s="54" t="s">
        <v>15</v>
      </c>
      <c r="T1" s="55"/>
      <c r="U1" s="193" t="s">
        <v>11</v>
      </c>
      <c r="V1" s="193"/>
      <c r="W1" s="194"/>
      <c r="X1" s="44">
        <f>COUNT(X3:X32)</f>
        <v>1</v>
      </c>
      <c r="Y1" s="52" t="s">
        <v>67</v>
      </c>
      <c r="Z1" s="37"/>
    </row>
    <row r="2" spans="1:26" ht="12.75">
      <c r="A2" s="1" t="s">
        <v>0</v>
      </c>
      <c r="B2" s="12" t="s">
        <v>1</v>
      </c>
      <c r="C2" s="12" t="s">
        <v>2</v>
      </c>
      <c r="D2" s="20" t="s">
        <v>1</v>
      </c>
      <c r="E2" s="16" t="s">
        <v>2</v>
      </c>
      <c r="F2" s="160" t="s">
        <v>1</v>
      </c>
      <c r="G2" s="211" t="s">
        <v>2</v>
      </c>
      <c r="H2" s="164" t="s">
        <v>1</v>
      </c>
      <c r="I2" s="210" t="s">
        <v>2</v>
      </c>
      <c r="J2" s="37"/>
      <c r="K2" s="1"/>
      <c r="L2" s="1"/>
      <c r="M2" s="1"/>
      <c r="N2" s="56" t="s">
        <v>47</v>
      </c>
      <c r="O2" s="1" t="s">
        <v>1</v>
      </c>
      <c r="P2" s="1" t="s">
        <v>2</v>
      </c>
      <c r="Q2" s="44" t="s">
        <v>6</v>
      </c>
      <c r="R2" s="2" t="s">
        <v>46</v>
      </c>
      <c r="S2" s="11" t="s">
        <v>16</v>
      </c>
      <c r="T2" s="72" t="s">
        <v>17</v>
      </c>
      <c r="U2" s="46" t="s">
        <v>12</v>
      </c>
      <c r="V2" s="31" t="s">
        <v>13</v>
      </c>
      <c r="W2" s="46" t="s">
        <v>14</v>
      </c>
      <c r="X2" s="31" t="s">
        <v>12</v>
      </c>
      <c r="Y2" s="31" t="s">
        <v>1</v>
      </c>
      <c r="Z2" s="45" t="s">
        <v>68</v>
      </c>
    </row>
    <row r="3" spans="1:35" ht="12.75">
      <c r="A3" s="2">
        <f>IF(B3="","",1)</f>
        <v>1</v>
      </c>
      <c r="B3" s="13" t="str">
        <f aca="true" t="shared" si="0" ref="B3:B32">IF(O3="","",O3)</f>
        <v>Sarah E</v>
      </c>
      <c r="C3" s="35">
        <v>39</v>
      </c>
      <c r="D3" s="22" t="s">
        <v>44</v>
      </c>
      <c r="E3" s="27">
        <v>29</v>
      </c>
      <c r="F3" s="161" t="str">
        <f aca="true" ca="1" t="shared" si="1" ref="F3:F14">IF($A3="","",IF($A3&gt;G$1,INDIRECT("B"&amp;$A3-G$1+2,TRUE),INDIRECT("B"&amp;$O$1-G$1+$A3+2,TRUE)))</f>
        <v>Steve</v>
      </c>
      <c r="G3" s="35">
        <v>42</v>
      </c>
      <c r="H3" s="165" t="str">
        <f aca="true" ca="1" t="shared" si="2" ref="H3:H14">IF($A3="","",IF($A3&gt;I$1,INDIRECT("B"&amp;$A3-I$1+2,TRUE),INDIRECT("B"&amp;$O$1-I$1+$A3+2,TRUE)))</f>
        <v>Cam</v>
      </c>
      <c r="I3" s="28">
        <v>37</v>
      </c>
      <c r="L3" s="116">
        <f>L$1</f>
        <v>0.001388888888888889</v>
      </c>
      <c r="M3">
        <f>IF(O3="","",P3)</f>
        <v>143</v>
      </c>
      <c r="N3" s="57">
        <f>IF(OR(R3="",R3=0),"",N$1-(N$1*R3/60))</f>
      </c>
      <c r="O3" s="2" t="s">
        <v>108</v>
      </c>
      <c r="P3" s="4">
        <f aca="true" t="shared" si="3" ref="P3:P32">IF($O3&gt;" ",IF(OR(P$1="",P$1=$N3),0+INDEX($C$3:$C$32,MATCH($O3,$B$3:$B$32,0),1)+INDEX($E$3:$E$32,MATCH($O3,$D$3:$D$32,0),1)+INDEX($G$3:$G$32,MATCH($O3,$F$3:$F$32,0),1)+INDEX($I$3:$I$32,MATCH($O3,$H$3:$H$32,0),1),""),"")</f>
        <v>143</v>
      </c>
      <c r="Q3" s="30">
        <f aca="true" t="shared" si="4" ref="Q3:Q32">IF(ISNUMBER(P3),RANK(P3,P$3:P$32,0),"")</f>
        <v>4</v>
      </c>
      <c r="R3" s="73">
        <v>0</v>
      </c>
      <c r="S3" s="61">
        <f aca="true" t="shared" si="5" ref="S3:S23">IF(O3="","",IF(P3&lt;$Q$1,IF(R3&gt;0,-1,0),IF(Q3&gt;3,0,ROUND(((P3-$Q$1)/P3*(60-R3)*(4-Q3)/3),0))))</f>
        <v>0</v>
      </c>
      <c r="T3" s="62">
        <f aca="true" t="shared" si="6" ref="T3:T32">IF(O3="","",R3+S3)</f>
        <v>0</v>
      </c>
      <c r="U3" s="30">
        <f>IF(O3="","",IF(Q3=1,20,IF(Q3=2,17,18-Q3)))</f>
        <v>14</v>
      </c>
      <c r="V3" s="9">
        <f aca="true" t="shared" si="7" ref="V3:V32">IF($O3="","",0+INDEX($AC$3:$AC$32,MATCH($O3,$B$3:$B$32,0),1)+INDEX($AE$3:$AE$32,MATCH($O3,$D$3:$D$32,0),1)+INDEX($AG$3:$AG$32,MATCH($O3,$F$3:$F$32,0),1)+INDEX($AI$3:$AI$32,MATCH($O3,$H$3:$H$32,0),1))</f>
        <v>2</v>
      </c>
      <c r="W3" s="11">
        <f aca="true" t="shared" si="8" ref="W3:W28">IF(O3="","",U3+V3)</f>
        <v>16</v>
      </c>
      <c r="X3" s="5">
        <v>2</v>
      </c>
      <c r="Y3" s="9" t="s">
        <v>26</v>
      </c>
      <c r="Z3" s="6">
        <v>0.484</v>
      </c>
      <c r="AC3">
        <f>IF(B3="","",IF(RANK(C3,$B3:$I3)=1,1,0))</f>
        <v>0</v>
      </c>
      <c r="AE3">
        <f>IF(D3="","",IF(RANK(E3,$B3:$I3)=1,1,0))</f>
        <v>0</v>
      </c>
      <c r="AG3">
        <f>IF(F3="","",IF(RANK(G3,$B3:$I3)=1,1,0))</f>
        <v>1</v>
      </c>
      <c r="AI3">
        <f>IF(H3="","",IF(RANK(I3,$B3:$I3)=1,1,0))</f>
        <v>0</v>
      </c>
    </row>
    <row r="4" spans="1:35" ht="12.75">
      <c r="A4" s="3">
        <f aca="true" t="shared" si="9" ref="A4:A32">IF(B4="","",A3+1)</f>
        <v>2</v>
      </c>
      <c r="B4" s="14" t="str">
        <f t="shared" si="0"/>
        <v>Barry</v>
      </c>
      <c r="C4" s="33">
        <v>25</v>
      </c>
      <c r="D4" s="22" t="str">
        <f aca="true" ca="1" t="shared" si="10" ref="D4:D14">IF($A4="","",IF($A4&gt;E$1,INDIRECT("B"&amp;$A4-E$1+2,TRUE),INDIRECT("B"&amp;$O$1-E$1+$A4+2,TRUE)))</f>
        <v>Graham</v>
      </c>
      <c r="E4" s="28">
        <v>33</v>
      </c>
      <c r="F4" s="161" t="s">
        <v>44</v>
      </c>
      <c r="G4" s="33">
        <v>24</v>
      </c>
      <c r="H4" s="165" t="str">
        <f ca="1" t="shared" si="2"/>
        <v>Matelen</v>
      </c>
      <c r="I4" s="28">
        <v>23</v>
      </c>
      <c r="L4" s="116">
        <f aca="true" t="shared" si="11" ref="L4:L32">L$1</f>
        <v>0.001388888888888889</v>
      </c>
      <c r="M4">
        <f aca="true" t="shared" si="12" ref="M4:M32">IF(O4="","",P4)</f>
        <v>126</v>
      </c>
      <c r="N4" s="58">
        <f aca="true" t="shared" si="13" ref="N4:N32">IF(OR(R4="",R4=0),"",N$1-(N$1*R4/60))</f>
      </c>
      <c r="O4" s="3" t="s">
        <v>29</v>
      </c>
      <c r="P4" s="5">
        <f t="shared" si="3"/>
        <v>126</v>
      </c>
      <c r="Q4" s="9">
        <f t="shared" si="4"/>
        <v>9</v>
      </c>
      <c r="R4" s="68">
        <v>0</v>
      </c>
      <c r="S4" s="64">
        <f t="shared" si="5"/>
        <v>0</v>
      </c>
      <c r="T4" s="65">
        <f t="shared" si="6"/>
        <v>0</v>
      </c>
      <c r="U4" s="9">
        <f>IF(O4="","",IF(Q4=1,20,IF(Q4=2,17,18-Q4)))</f>
        <v>9</v>
      </c>
      <c r="V4" s="9">
        <f t="shared" si="7"/>
        <v>0</v>
      </c>
      <c r="W4" s="6">
        <f t="shared" si="8"/>
        <v>9</v>
      </c>
      <c r="X4" s="5"/>
      <c r="Y4" s="9"/>
      <c r="Z4" s="6"/>
      <c r="AC4">
        <f aca="true" t="shared" si="14" ref="AC4:AC32">IF(B4="","",IF(RANK(C4,$B4:$I4)=1,1,0))</f>
        <v>0</v>
      </c>
      <c r="AE4">
        <f aca="true" t="shared" si="15" ref="AE4:AE32">IF(D4="","",IF(RANK(E4,$B4:$I4)=1,1,0))</f>
        <v>1</v>
      </c>
      <c r="AG4">
        <f aca="true" t="shared" si="16" ref="AG4:AG32">IF(F4="","",IF(RANK(G4,$B4:$I4)=1,1,0))</f>
        <v>0</v>
      </c>
      <c r="AI4">
        <f aca="true" t="shared" si="17" ref="AI4:AI32">IF(H4="","",IF(RANK(I4,$B4:$I4)=1,1,0))</f>
        <v>0</v>
      </c>
    </row>
    <row r="5" spans="1:35" ht="12.75">
      <c r="A5" s="3">
        <f t="shared" si="9"/>
        <v>3</v>
      </c>
      <c r="B5" s="14" t="str">
        <f t="shared" si="0"/>
        <v>Bill</v>
      </c>
      <c r="C5" s="33">
        <v>30</v>
      </c>
      <c r="D5" s="22" t="str">
        <f ca="1" t="shared" si="10"/>
        <v>Kev</v>
      </c>
      <c r="E5" s="28">
        <v>38</v>
      </c>
      <c r="F5" s="161" t="str">
        <f ca="1" t="shared" si="1"/>
        <v>Chris</v>
      </c>
      <c r="G5" s="33">
        <v>16</v>
      </c>
      <c r="H5" s="165" t="str">
        <f ca="1" t="shared" si="2"/>
        <v>Geoff</v>
      </c>
      <c r="I5" s="28">
        <v>27</v>
      </c>
      <c r="L5" s="116">
        <f t="shared" si="11"/>
        <v>0.001388888888888889</v>
      </c>
      <c r="M5">
        <f t="shared" si="12"/>
        <v>105</v>
      </c>
      <c r="N5" s="58">
        <f t="shared" si="13"/>
        <v>0.0014583333333333332</v>
      </c>
      <c r="O5" s="3" t="s">
        <v>44</v>
      </c>
      <c r="P5" s="5">
        <f t="shared" si="3"/>
        <v>105</v>
      </c>
      <c r="Q5" s="9">
        <f t="shared" si="4"/>
        <v>15</v>
      </c>
      <c r="R5" s="68">
        <v>18</v>
      </c>
      <c r="S5" s="64">
        <f t="shared" si="5"/>
        <v>-1</v>
      </c>
      <c r="T5" s="65">
        <f t="shared" si="6"/>
        <v>17</v>
      </c>
      <c r="U5" s="51">
        <f aca="true" t="shared" si="18" ref="U5:U32">IF(O5="","",IF(Q5=1,20,IF(Q5=2,17,18-Q5)))</f>
        <v>3</v>
      </c>
      <c r="V5" s="9">
        <f t="shared" si="7"/>
        <v>0</v>
      </c>
      <c r="W5" s="6">
        <f t="shared" si="8"/>
        <v>3</v>
      </c>
      <c r="X5" s="5"/>
      <c r="Y5" s="9"/>
      <c r="Z5" s="6"/>
      <c r="AC5">
        <f t="shared" si="14"/>
        <v>0</v>
      </c>
      <c r="AE5">
        <f t="shared" si="15"/>
        <v>1</v>
      </c>
      <c r="AG5">
        <f t="shared" si="16"/>
        <v>0</v>
      </c>
      <c r="AI5">
        <f t="shared" si="17"/>
        <v>0</v>
      </c>
    </row>
    <row r="6" spans="1:35" ht="12.75">
      <c r="A6" s="3">
        <f t="shared" si="9"/>
        <v>4</v>
      </c>
      <c r="B6" s="14" t="str">
        <f t="shared" si="0"/>
        <v>Tracey</v>
      </c>
      <c r="C6" s="33">
        <v>30</v>
      </c>
      <c r="D6" s="22" t="str">
        <f ca="1" t="shared" si="10"/>
        <v>Chad</v>
      </c>
      <c r="E6" s="28">
        <v>35</v>
      </c>
      <c r="F6" s="161" t="str">
        <f ca="1" t="shared" si="1"/>
        <v>Richard</v>
      </c>
      <c r="G6" s="33">
        <v>29</v>
      </c>
      <c r="H6" s="165" t="s">
        <v>44</v>
      </c>
      <c r="I6" s="28">
        <v>22</v>
      </c>
      <c r="L6" s="116">
        <f t="shared" si="11"/>
        <v>0.001388888888888889</v>
      </c>
      <c r="M6">
        <f t="shared" si="12"/>
        <v>122</v>
      </c>
      <c r="N6" s="58">
        <f t="shared" si="13"/>
        <v>0.0018402777777777777</v>
      </c>
      <c r="O6" s="3" t="s">
        <v>23</v>
      </c>
      <c r="P6" s="5">
        <f t="shared" si="3"/>
        <v>122</v>
      </c>
      <c r="Q6" s="9">
        <f t="shared" si="4"/>
        <v>12</v>
      </c>
      <c r="R6" s="68">
        <v>7</v>
      </c>
      <c r="S6" s="64">
        <f t="shared" si="5"/>
        <v>-1</v>
      </c>
      <c r="T6" s="65">
        <f t="shared" si="6"/>
        <v>6</v>
      </c>
      <c r="U6" s="51">
        <f t="shared" si="18"/>
        <v>6</v>
      </c>
      <c r="V6" s="51">
        <f t="shared" si="7"/>
        <v>1</v>
      </c>
      <c r="W6" s="6">
        <f t="shared" si="8"/>
        <v>7</v>
      </c>
      <c r="X6" s="5"/>
      <c r="Y6" s="9"/>
      <c r="Z6" s="6"/>
      <c r="AC6">
        <f t="shared" si="14"/>
        <v>0</v>
      </c>
      <c r="AE6">
        <f t="shared" si="15"/>
        <v>1</v>
      </c>
      <c r="AG6">
        <f t="shared" si="16"/>
        <v>0</v>
      </c>
      <c r="AI6">
        <f t="shared" si="17"/>
        <v>0</v>
      </c>
    </row>
    <row r="7" spans="1:35" ht="12.75">
      <c r="A7" s="3">
        <f t="shared" si="9"/>
        <v>5</v>
      </c>
      <c r="B7" s="14" t="str">
        <f t="shared" si="0"/>
        <v>Graham</v>
      </c>
      <c r="C7" s="33">
        <v>32</v>
      </c>
      <c r="D7" s="22" t="str">
        <f ca="1" t="shared" si="10"/>
        <v>Garth</v>
      </c>
      <c r="E7" s="28">
        <v>39</v>
      </c>
      <c r="F7" s="161" t="str">
        <f ca="1" t="shared" si="1"/>
        <v>Sarah E</v>
      </c>
      <c r="G7" s="33">
        <v>30</v>
      </c>
      <c r="H7" s="165" t="str">
        <f ca="1" t="shared" si="2"/>
        <v>Karl</v>
      </c>
      <c r="I7" s="28">
        <v>31</v>
      </c>
      <c r="L7" s="116">
        <f t="shared" si="11"/>
        <v>0.001388888888888889</v>
      </c>
      <c r="M7">
        <f t="shared" si="12"/>
        <v>114</v>
      </c>
      <c r="N7" s="58">
        <f t="shared" si="13"/>
        <v>0.002013888888888889</v>
      </c>
      <c r="O7" s="3" t="s">
        <v>111</v>
      </c>
      <c r="P7" s="5">
        <f t="shared" si="3"/>
        <v>114</v>
      </c>
      <c r="Q7" s="9">
        <f t="shared" si="4"/>
        <v>14</v>
      </c>
      <c r="R7" s="68">
        <v>2</v>
      </c>
      <c r="S7" s="64">
        <f t="shared" si="5"/>
        <v>-1</v>
      </c>
      <c r="T7" s="65">
        <f t="shared" si="6"/>
        <v>1</v>
      </c>
      <c r="U7" s="51">
        <f t="shared" si="18"/>
        <v>4</v>
      </c>
      <c r="V7" s="51">
        <f t="shared" si="7"/>
        <v>1</v>
      </c>
      <c r="W7" s="6">
        <f t="shared" si="8"/>
        <v>5</v>
      </c>
      <c r="X7" s="5"/>
      <c r="Y7" s="9"/>
      <c r="Z7" s="6"/>
      <c r="AC7">
        <f t="shared" si="14"/>
        <v>0</v>
      </c>
      <c r="AE7">
        <f t="shared" si="15"/>
        <v>1</v>
      </c>
      <c r="AG7">
        <f t="shared" si="16"/>
        <v>0</v>
      </c>
      <c r="AI7">
        <f t="shared" si="17"/>
        <v>0</v>
      </c>
    </row>
    <row r="8" spans="1:35" ht="12.75">
      <c r="A8" s="3">
        <f t="shared" si="9"/>
        <v>6</v>
      </c>
      <c r="B8" s="14" t="str">
        <f t="shared" si="0"/>
        <v>Kev</v>
      </c>
      <c r="C8" s="33">
        <v>39</v>
      </c>
      <c r="D8" s="22" t="str">
        <f ca="1" t="shared" si="10"/>
        <v>Cam</v>
      </c>
      <c r="E8" s="28">
        <v>38</v>
      </c>
      <c r="F8" s="161" t="str">
        <f ca="1" t="shared" si="1"/>
        <v>Barry</v>
      </c>
      <c r="G8" s="33">
        <v>28</v>
      </c>
      <c r="H8" s="165" t="str">
        <f ca="1" t="shared" si="2"/>
        <v>Chris</v>
      </c>
      <c r="I8" s="28">
        <v>36</v>
      </c>
      <c r="L8" s="116">
        <f t="shared" si="11"/>
        <v>0.001388888888888889</v>
      </c>
      <c r="M8">
        <f t="shared" si="12"/>
        <v>151</v>
      </c>
      <c r="N8" s="58">
        <f t="shared" si="13"/>
      </c>
      <c r="O8" s="3" t="s">
        <v>24</v>
      </c>
      <c r="P8" s="5">
        <f t="shared" si="3"/>
        <v>151</v>
      </c>
      <c r="Q8" s="9">
        <f t="shared" si="4"/>
        <v>1</v>
      </c>
      <c r="R8" s="68">
        <v>0</v>
      </c>
      <c r="S8" s="64">
        <f t="shared" si="5"/>
        <v>10</v>
      </c>
      <c r="T8" s="65">
        <f t="shared" si="6"/>
        <v>10</v>
      </c>
      <c r="U8" s="9">
        <f t="shared" si="18"/>
        <v>20</v>
      </c>
      <c r="V8" s="51">
        <f t="shared" si="7"/>
        <v>3</v>
      </c>
      <c r="W8" s="6">
        <f t="shared" si="8"/>
        <v>23</v>
      </c>
      <c r="X8" s="5"/>
      <c r="Y8" s="9"/>
      <c r="Z8" s="6"/>
      <c r="AC8">
        <f t="shared" si="14"/>
        <v>1</v>
      </c>
      <c r="AE8">
        <f t="shared" si="15"/>
        <v>0</v>
      </c>
      <c r="AG8">
        <f t="shared" si="16"/>
        <v>0</v>
      </c>
      <c r="AI8">
        <f t="shared" si="17"/>
        <v>0</v>
      </c>
    </row>
    <row r="9" spans="1:35" ht="12.75">
      <c r="A9" s="3">
        <f>IF(B9="","",A8+1)</f>
        <v>7</v>
      </c>
      <c r="B9" s="14" t="str">
        <f t="shared" si="0"/>
        <v>Chad</v>
      </c>
      <c r="C9" s="33">
        <v>36</v>
      </c>
      <c r="D9" s="22" t="str">
        <f ca="1" t="shared" si="10"/>
        <v>Matelen</v>
      </c>
      <c r="E9" s="28">
        <v>32</v>
      </c>
      <c r="F9" s="161" t="s">
        <v>10</v>
      </c>
      <c r="G9" s="33">
        <v>37</v>
      </c>
      <c r="H9" s="165" t="str">
        <f ca="1" t="shared" si="2"/>
        <v>Richard</v>
      </c>
      <c r="I9" s="28">
        <v>30</v>
      </c>
      <c r="L9" s="116">
        <f t="shared" si="11"/>
        <v>0.001388888888888889</v>
      </c>
      <c r="M9">
        <f t="shared" si="12"/>
        <v>137</v>
      </c>
      <c r="N9" s="58">
        <f t="shared" si="13"/>
        <v>0.001701388888888889</v>
      </c>
      <c r="O9" s="3" t="s">
        <v>26</v>
      </c>
      <c r="P9" s="5">
        <f t="shared" si="3"/>
        <v>137</v>
      </c>
      <c r="Q9" s="9">
        <f t="shared" si="4"/>
        <v>6</v>
      </c>
      <c r="R9" s="68">
        <v>11</v>
      </c>
      <c r="S9" s="64">
        <f t="shared" si="5"/>
        <v>0</v>
      </c>
      <c r="T9" s="65">
        <f t="shared" si="6"/>
        <v>11</v>
      </c>
      <c r="U9" s="9">
        <f t="shared" si="18"/>
        <v>12</v>
      </c>
      <c r="V9" s="51">
        <f t="shared" si="7"/>
        <v>1</v>
      </c>
      <c r="W9" s="6">
        <f t="shared" si="8"/>
        <v>13</v>
      </c>
      <c r="X9" s="5"/>
      <c r="Y9" s="9"/>
      <c r="Z9" s="6"/>
      <c r="AC9">
        <f t="shared" si="14"/>
        <v>0</v>
      </c>
      <c r="AE9">
        <f t="shared" si="15"/>
        <v>0</v>
      </c>
      <c r="AG9">
        <f t="shared" si="16"/>
        <v>1</v>
      </c>
      <c r="AI9">
        <f t="shared" si="17"/>
        <v>0</v>
      </c>
    </row>
    <row r="10" spans="1:35" ht="12.75">
      <c r="A10" s="3">
        <f>IF(B10="","",A9+1)</f>
        <v>8</v>
      </c>
      <c r="B10" s="14" t="str">
        <f aca="true" t="shared" si="19" ref="B10:B19">IF(O10="","",O10)</f>
        <v>Garth</v>
      </c>
      <c r="C10" s="33">
        <v>34</v>
      </c>
      <c r="D10" s="22" t="str">
        <f ca="1" t="shared" si="10"/>
        <v>Geoff</v>
      </c>
      <c r="E10" s="28">
        <v>35</v>
      </c>
      <c r="F10" s="161" t="str">
        <f ca="1" t="shared" si="1"/>
        <v>Tracey</v>
      </c>
      <c r="G10" s="33">
        <v>34</v>
      </c>
      <c r="H10" s="165" t="str">
        <f ca="1" t="shared" si="2"/>
        <v>Sarah E</v>
      </c>
      <c r="I10" s="28">
        <v>36</v>
      </c>
      <c r="L10" s="116">
        <f t="shared" si="11"/>
        <v>0.001388888888888889</v>
      </c>
      <c r="M10">
        <f t="shared" si="12"/>
        <v>123</v>
      </c>
      <c r="N10" s="58">
        <f aca="true" t="shared" si="20" ref="N10:N19">IF(OR(R10="",R10=0),"",N$1-(N$1*R10/60))</f>
        <v>0.0017708333333333332</v>
      </c>
      <c r="O10" s="3" t="s">
        <v>27</v>
      </c>
      <c r="P10" s="5">
        <f t="shared" si="3"/>
        <v>123</v>
      </c>
      <c r="Q10" s="9">
        <f t="shared" si="4"/>
        <v>11</v>
      </c>
      <c r="R10" s="68">
        <v>9</v>
      </c>
      <c r="S10" s="64">
        <f aca="true" t="shared" si="21" ref="S10:S19">IF(O10="","",IF(P10&lt;$Q$1,IF(R10&gt;0,-1,0),IF(Q10&gt;3,0,ROUND(((P10-$Q$1)/P10*(60-R10)*(4-Q10)/3),0))))</f>
        <v>-1</v>
      </c>
      <c r="T10" s="65">
        <f aca="true" t="shared" si="22" ref="T10:T19">IF(O10="","",R10+S10)</f>
        <v>8</v>
      </c>
      <c r="U10" s="9">
        <f aca="true" t="shared" si="23" ref="U10:U19">IF(O10="","",IF(Q10=1,20,IF(Q10=2,17,18-Q10)))</f>
        <v>7</v>
      </c>
      <c r="V10" s="51">
        <f t="shared" si="7"/>
        <v>1</v>
      </c>
      <c r="W10" s="6">
        <f aca="true" t="shared" si="24" ref="W10:W18">IF(O10="","",U10+V10)</f>
        <v>8</v>
      </c>
      <c r="X10" s="5"/>
      <c r="Y10" s="9"/>
      <c r="Z10" s="6"/>
      <c r="AC10">
        <f aca="true" t="shared" si="25" ref="AC10:AC19">IF(B10="","",IF(RANK(C10,$B10:$I10)=1,1,0))</f>
        <v>0</v>
      </c>
      <c r="AE10">
        <f aca="true" t="shared" si="26" ref="AE10:AE19">IF(D10="","",IF(RANK(E10,$B10:$I10)=1,1,0))</f>
        <v>0</v>
      </c>
      <c r="AG10">
        <f aca="true" t="shared" si="27" ref="AG10:AG19">IF(F10="","",IF(RANK(G10,$B10:$I10)=1,1,0))</f>
        <v>0</v>
      </c>
      <c r="AI10">
        <f aca="true" t="shared" si="28" ref="AI10:AI19">IF(H10="","",IF(RANK(I10,$B10:$I10)=1,1,0))</f>
        <v>1</v>
      </c>
    </row>
    <row r="11" spans="1:35" ht="12.75">
      <c r="A11" s="3">
        <f aca="true" t="shared" si="29" ref="A11:A19">IF(B11="","",A10+1)</f>
        <v>9</v>
      </c>
      <c r="B11" s="14" t="str">
        <f t="shared" si="19"/>
        <v>Cam</v>
      </c>
      <c r="C11" s="33">
        <v>36</v>
      </c>
      <c r="D11" s="22" t="str">
        <f ca="1" t="shared" si="10"/>
        <v>Steve</v>
      </c>
      <c r="E11" s="28">
        <v>39</v>
      </c>
      <c r="F11" s="161" t="str">
        <f ca="1" t="shared" si="1"/>
        <v>Graham</v>
      </c>
      <c r="G11" s="33">
        <v>33</v>
      </c>
      <c r="H11" s="165" t="str">
        <f ca="1" t="shared" si="2"/>
        <v>Barry</v>
      </c>
      <c r="I11" s="28">
        <v>35</v>
      </c>
      <c r="L11" s="116">
        <f t="shared" si="11"/>
        <v>0.001388888888888889</v>
      </c>
      <c r="M11">
        <f t="shared" si="12"/>
        <v>147</v>
      </c>
      <c r="N11" s="58">
        <f t="shared" si="20"/>
        <v>0.0017708333333333332</v>
      </c>
      <c r="O11" s="3" t="s">
        <v>9</v>
      </c>
      <c r="P11" s="5">
        <f t="shared" si="3"/>
        <v>147</v>
      </c>
      <c r="Q11" s="9">
        <f t="shared" si="4"/>
        <v>3</v>
      </c>
      <c r="R11" s="68">
        <v>9</v>
      </c>
      <c r="S11" s="64">
        <f t="shared" si="21"/>
        <v>2</v>
      </c>
      <c r="T11" s="65">
        <f t="shared" si="22"/>
        <v>11</v>
      </c>
      <c r="U11" s="9">
        <f t="shared" si="23"/>
        <v>15</v>
      </c>
      <c r="V11" s="51">
        <f t="shared" si="7"/>
        <v>0</v>
      </c>
      <c r="W11" s="6">
        <f t="shared" si="24"/>
        <v>15</v>
      </c>
      <c r="X11" s="5"/>
      <c r="Y11" s="9"/>
      <c r="Z11" s="6"/>
      <c r="AC11">
        <f t="shared" si="25"/>
        <v>0</v>
      </c>
      <c r="AE11">
        <f t="shared" si="26"/>
        <v>1</v>
      </c>
      <c r="AG11">
        <f t="shared" si="27"/>
        <v>0</v>
      </c>
      <c r="AI11">
        <f t="shared" si="28"/>
        <v>0</v>
      </c>
    </row>
    <row r="12" spans="1:35" ht="12.75">
      <c r="A12" s="3">
        <f t="shared" si="29"/>
        <v>10</v>
      </c>
      <c r="B12" s="14" t="str">
        <f t="shared" si="19"/>
        <v>Matelen</v>
      </c>
      <c r="C12" s="33">
        <v>34</v>
      </c>
      <c r="D12" s="22" t="str">
        <f ca="1" t="shared" si="10"/>
        <v>Karl</v>
      </c>
      <c r="E12" s="28">
        <v>37</v>
      </c>
      <c r="F12" s="161" t="str">
        <f ca="1" t="shared" si="1"/>
        <v>Kev</v>
      </c>
      <c r="G12" s="33">
        <v>37</v>
      </c>
      <c r="H12" s="165" t="s">
        <v>115</v>
      </c>
      <c r="I12" s="28">
        <v>27</v>
      </c>
      <c r="L12" s="116">
        <f t="shared" si="11"/>
        <v>0.001388888888888889</v>
      </c>
      <c r="M12">
        <f t="shared" si="12"/>
        <v>127</v>
      </c>
      <c r="N12" s="58">
        <f t="shared" si="20"/>
      </c>
      <c r="O12" s="3" t="s">
        <v>30</v>
      </c>
      <c r="P12" s="5">
        <f t="shared" si="3"/>
        <v>127</v>
      </c>
      <c r="Q12" s="9">
        <f t="shared" si="4"/>
        <v>8</v>
      </c>
      <c r="R12" s="68">
        <v>0</v>
      </c>
      <c r="S12" s="64">
        <f t="shared" si="21"/>
        <v>0</v>
      </c>
      <c r="T12" s="65">
        <f t="shared" si="22"/>
        <v>0</v>
      </c>
      <c r="U12" s="9">
        <f t="shared" si="23"/>
        <v>10</v>
      </c>
      <c r="V12" s="9">
        <f t="shared" si="7"/>
        <v>0</v>
      </c>
      <c r="W12" s="6">
        <f t="shared" si="24"/>
        <v>10</v>
      </c>
      <c r="X12" s="5"/>
      <c r="Y12" s="9"/>
      <c r="Z12" s="6"/>
      <c r="AC12">
        <f t="shared" si="25"/>
        <v>0</v>
      </c>
      <c r="AE12">
        <f t="shared" si="26"/>
        <v>1</v>
      </c>
      <c r="AG12">
        <f t="shared" si="27"/>
        <v>1</v>
      </c>
      <c r="AI12">
        <f t="shared" si="28"/>
        <v>0</v>
      </c>
    </row>
    <row r="13" spans="1:35" ht="12.75">
      <c r="A13" s="3">
        <f t="shared" si="29"/>
        <v>11</v>
      </c>
      <c r="B13" s="14" t="str">
        <f t="shared" si="19"/>
        <v>Geoff</v>
      </c>
      <c r="C13" s="33">
        <v>32</v>
      </c>
      <c r="D13" s="22" t="str">
        <f ca="1" t="shared" si="10"/>
        <v>Chris</v>
      </c>
      <c r="E13" s="28">
        <v>39</v>
      </c>
      <c r="F13" s="161" t="str">
        <f ca="1" t="shared" si="1"/>
        <v>Chad</v>
      </c>
      <c r="G13" s="33">
        <v>31</v>
      </c>
      <c r="H13" s="165" t="str">
        <f ca="1" t="shared" si="2"/>
        <v>Tracey</v>
      </c>
      <c r="I13" s="28">
        <v>28</v>
      </c>
      <c r="L13" s="116">
        <f t="shared" si="11"/>
        <v>0.001388888888888889</v>
      </c>
      <c r="M13">
        <f t="shared" si="12"/>
        <v>124</v>
      </c>
      <c r="N13" s="58">
        <f t="shared" si="20"/>
        <v>0.0017708333333333332</v>
      </c>
      <c r="O13" s="3" t="s">
        <v>28</v>
      </c>
      <c r="P13" s="5">
        <f t="shared" si="3"/>
        <v>124</v>
      </c>
      <c r="Q13" s="9">
        <f t="shared" si="4"/>
        <v>10</v>
      </c>
      <c r="R13" s="68">
        <v>9</v>
      </c>
      <c r="S13" s="64">
        <f t="shared" si="21"/>
        <v>-1</v>
      </c>
      <c r="T13" s="65">
        <f t="shared" si="22"/>
        <v>8</v>
      </c>
      <c r="U13" s="9">
        <f t="shared" si="23"/>
        <v>8</v>
      </c>
      <c r="V13" s="51">
        <f t="shared" si="7"/>
        <v>1</v>
      </c>
      <c r="W13" s="6">
        <f t="shared" si="24"/>
        <v>9</v>
      </c>
      <c r="X13" s="5"/>
      <c r="Y13" s="9"/>
      <c r="Z13" s="6"/>
      <c r="AC13">
        <f t="shared" si="25"/>
        <v>0</v>
      </c>
      <c r="AE13">
        <f t="shared" si="26"/>
        <v>1</v>
      </c>
      <c r="AG13">
        <f t="shared" si="27"/>
        <v>0</v>
      </c>
      <c r="AI13">
        <f t="shared" si="28"/>
        <v>0</v>
      </c>
    </row>
    <row r="14" spans="1:35" ht="12.75">
      <c r="A14" s="3">
        <f t="shared" si="29"/>
        <v>12</v>
      </c>
      <c r="B14" s="14" t="str">
        <f t="shared" si="19"/>
        <v>Steve</v>
      </c>
      <c r="C14" s="33">
        <v>41</v>
      </c>
      <c r="D14" s="22" t="str">
        <f ca="1" t="shared" si="10"/>
        <v>Richard</v>
      </c>
      <c r="E14" s="28">
        <v>33</v>
      </c>
      <c r="F14" s="161" t="str">
        <f ca="1" t="shared" si="1"/>
        <v>Garth</v>
      </c>
      <c r="G14" s="33">
        <v>31</v>
      </c>
      <c r="H14" s="165" t="str">
        <f ca="1" t="shared" si="2"/>
        <v>Graham</v>
      </c>
      <c r="I14" s="28">
        <v>16</v>
      </c>
      <c r="L14" s="116">
        <f t="shared" si="11"/>
        <v>0.001388888888888889</v>
      </c>
      <c r="M14">
        <f t="shared" si="12"/>
        <v>149</v>
      </c>
      <c r="N14" s="58">
        <f t="shared" si="20"/>
      </c>
      <c r="O14" s="3" t="s">
        <v>115</v>
      </c>
      <c r="P14" s="5">
        <f t="shared" si="3"/>
        <v>149</v>
      </c>
      <c r="Q14" s="9">
        <f t="shared" si="4"/>
        <v>2</v>
      </c>
      <c r="R14" s="68">
        <v>0</v>
      </c>
      <c r="S14" s="64">
        <f t="shared" si="21"/>
        <v>6</v>
      </c>
      <c r="T14" s="65">
        <f t="shared" si="22"/>
        <v>6</v>
      </c>
      <c r="U14" s="9">
        <f t="shared" si="23"/>
        <v>17</v>
      </c>
      <c r="V14" s="9">
        <f t="shared" si="7"/>
        <v>3</v>
      </c>
      <c r="W14" s="6">
        <f t="shared" si="24"/>
        <v>20</v>
      </c>
      <c r="X14" s="5"/>
      <c r="Y14" s="9"/>
      <c r="Z14" s="6"/>
      <c r="AC14">
        <f t="shared" si="25"/>
        <v>1</v>
      </c>
      <c r="AE14">
        <f t="shared" si="26"/>
        <v>0</v>
      </c>
      <c r="AG14">
        <f t="shared" si="27"/>
        <v>0</v>
      </c>
      <c r="AI14">
        <f t="shared" si="28"/>
        <v>0</v>
      </c>
    </row>
    <row r="15" spans="1:35" ht="12.75">
      <c r="A15" s="3">
        <f t="shared" si="29"/>
        <v>13</v>
      </c>
      <c r="B15" s="14" t="str">
        <f t="shared" si="19"/>
        <v>Karl</v>
      </c>
      <c r="C15" s="33">
        <v>34</v>
      </c>
      <c r="D15" s="22" t="str">
        <f ca="1">IF($A15="","",IF($A15&gt;E$1,INDIRECT("B"&amp;$A15-E$1+2,TRUE),INDIRECT("B"&amp;$O$1-E$1+$A15+2,TRUE)))</f>
        <v>Sarah E</v>
      </c>
      <c r="E15" s="28">
        <v>38</v>
      </c>
      <c r="F15" s="161" t="str">
        <f ca="1">IF($A15="","",IF($A15&gt;G$1,INDIRECT("B"&amp;$A15-G$1+2,TRUE),INDIRECT("B"&amp;$O$1-G$1+$A15+2,TRUE)))</f>
        <v>Cam</v>
      </c>
      <c r="G15" s="33">
        <v>36</v>
      </c>
      <c r="H15" s="165" t="str">
        <f ca="1">IF($A15="","",IF($A15&gt;I$1,INDIRECT("B"&amp;$A15-I$1+2,TRUE),INDIRECT("B"&amp;$O$1-I$1+$A15+2,TRUE)))</f>
        <v>Kev</v>
      </c>
      <c r="I15" s="28">
        <v>37</v>
      </c>
      <c r="L15" s="116">
        <f t="shared" si="11"/>
        <v>0.001388888888888889</v>
      </c>
      <c r="M15">
        <f t="shared" si="12"/>
        <v>139</v>
      </c>
      <c r="N15" s="58">
        <f t="shared" si="20"/>
        <v>0.0015625</v>
      </c>
      <c r="O15" s="3" t="s">
        <v>10</v>
      </c>
      <c r="P15" s="5">
        <f t="shared" si="3"/>
        <v>139</v>
      </c>
      <c r="Q15" s="9">
        <f t="shared" si="4"/>
        <v>5</v>
      </c>
      <c r="R15" s="68">
        <v>15</v>
      </c>
      <c r="S15" s="64">
        <f t="shared" si="21"/>
        <v>0</v>
      </c>
      <c r="T15" s="65">
        <f t="shared" si="22"/>
        <v>15</v>
      </c>
      <c r="U15" s="9">
        <f t="shared" si="23"/>
        <v>13</v>
      </c>
      <c r="V15" s="9">
        <f t="shared" si="7"/>
        <v>2</v>
      </c>
      <c r="W15" s="6">
        <f t="shared" si="24"/>
        <v>15</v>
      </c>
      <c r="X15" s="5"/>
      <c r="Y15" s="9"/>
      <c r="Z15" s="6"/>
      <c r="AC15">
        <f t="shared" si="25"/>
        <v>0</v>
      </c>
      <c r="AE15">
        <f t="shared" si="26"/>
        <v>1</v>
      </c>
      <c r="AG15">
        <f t="shared" si="27"/>
        <v>0</v>
      </c>
      <c r="AI15">
        <f t="shared" si="28"/>
        <v>0</v>
      </c>
    </row>
    <row r="16" spans="1:35" ht="12.75">
      <c r="A16" s="3">
        <f t="shared" si="29"/>
        <v>14</v>
      </c>
      <c r="B16" s="14" t="str">
        <f t="shared" si="19"/>
        <v>Chris</v>
      </c>
      <c r="C16" s="33">
        <v>39</v>
      </c>
      <c r="D16" s="22" t="str">
        <f ca="1">IF($A16="","",IF($A16&gt;E$1,INDIRECT("B"&amp;$A16-E$1+2,TRUE),INDIRECT("B"&amp;$O$1-E$1+$A16+2,TRUE)))</f>
        <v>Barry</v>
      </c>
      <c r="E16" s="28">
        <v>38</v>
      </c>
      <c r="F16" s="161" t="str">
        <f ca="1">IF($A16="","",IF($A16&gt;G$1,INDIRECT("B"&amp;$A16-G$1+2,TRUE),INDIRECT("B"&amp;$O$1-G$1+$A16+2,TRUE)))</f>
        <v>Matelen</v>
      </c>
      <c r="G16" s="33">
        <v>38</v>
      </c>
      <c r="H16" s="165" t="str">
        <f ca="1">IF($A16="","",IF($A16&gt;I$1,INDIRECT("B"&amp;$A16-I$1+2,TRUE),INDIRECT("B"&amp;$O$1-I$1+$A16+2,TRUE)))</f>
        <v>Chad</v>
      </c>
      <c r="I16" s="28">
        <v>35</v>
      </c>
      <c r="L16" s="116">
        <f t="shared" si="11"/>
        <v>0.001388888888888889</v>
      </c>
      <c r="M16">
        <f t="shared" si="12"/>
        <v>130</v>
      </c>
      <c r="N16" s="58">
        <f t="shared" si="20"/>
        <v>0.0018055555555555555</v>
      </c>
      <c r="O16" s="111" t="s">
        <v>39</v>
      </c>
      <c r="P16" s="5">
        <f t="shared" si="3"/>
        <v>130</v>
      </c>
      <c r="Q16" s="9">
        <f t="shared" si="4"/>
        <v>7</v>
      </c>
      <c r="R16" s="68">
        <v>8</v>
      </c>
      <c r="S16" s="64">
        <f t="shared" si="21"/>
        <v>0</v>
      </c>
      <c r="T16" s="65">
        <f t="shared" si="22"/>
        <v>8</v>
      </c>
      <c r="U16" s="9">
        <f t="shared" si="23"/>
        <v>11</v>
      </c>
      <c r="V16" s="9">
        <f t="shared" si="7"/>
        <v>2</v>
      </c>
      <c r="W16" s="6">
        <f t="shared" si="24"/>
        <v>13</v>
      </c>
      <c r="X16" s="5"/>
      <c r="Y16" s="9"/>
      <c r="Z16" s="6"/>
      <c r="AC16">
        <f t="shared" si="25"/>
        <v>1</v>
      </c>
      <c r="AE16">
        <f t="shared" si="26"/>
        <v>0</v>
      </c>
      <c r="AG16">
        <f t="shared" si="27"/>
        <v>0</v>
      </c>
      <c r="AI16">
        <f t="shared" si="28"/>
        <v>0</v>
      </c>
    </row>
    <row r="17" spans="1:35" ht="12.75">
      <c r="A17" s="3">
        <f t="shared" si="29"/>
        <v>15</v>
      </c>
      <c r="B17" s="14" t="str">
        <f t="shared" si="19"/>
        <v>Richard</v>
      </c>
      <c r="C17" s="33">
        <v>30</v>
      </c>
      <c r="D17" s="22" t="s">
        <v>23</v>
      </c>
      <c r="E17" s="28">
        <v>30</v>
      </c>
      <c r="F17" s="161" t="str">
        <f ca="1">IF($A17="","",IF($A17&gt;G$1,INDIRECT("B"&amp;$A17-G$1+2,TRUE),INDIRECT("B"&amp;$O$1-G$1+$A17+2,TRUE)))</f>
        <v>Geoff</v>
      </c>
      <c r="G17" s="33">
        <v>30</v>
      </c>
      <c r="H17" s="165" t="str">
        <f ca="1">IF($A17="","",IF($A17&gt;I$1,INDIRECT("B"&amp;$A17-I$1+2,TRUE),INDIRECT("B"&amp;$O$1-I$1+$A17+2,TRUE)))</f>
        <v>Garth</v>
      </c>
      <c r="I17" s="28">
        <v>19</v>
      </c>
      <c r="L17" s="116">
        <f t="shared" si="11"/>
        <v>0.001388888888888889</v>
      </c>
      <c r="M17">
        <f t="shared" si="12"/>
        <v>122</v>
      </c>
      <c r="N17" s="58">
        <f t="shared" si="20"/>
        <v>0.0016319444444444443</v>
      </c>
      <c r="O17" s="3" t="s">
        <v>38</v>
      </c>
      <c r="P17" s="5">
        <f t="shared" si="3"/>
        <v>122</v>
      </c>
      <c r="Q17" s="9">
        <f t="shared" si="4"/>
        <v>12</v>
      </c>
      <c r="R17" s="68">
        <v>13</v>
      </c>
      <c r="S17" s="64">
        <f t="shared" si="21"/>
        <v>-1</v>
      </c>
      <c r="T17" s="65">
        <f t="shared" si="22"/>
        <v>12</v>
      </c>
      <c r="U17" s="9">
        <f t="shared" si="23"/>
        <v>6</v>
      </c>
      <c r="V17" s="9">
        <f t="shared" si="7"/>
        <v>1</v>
      </c>
      <c r="W17" s="6">
        <f t="shared" si="24"/>
        <v>7</v>
      </c>
      <c r="X17" s="5"/>
      <c r="Y17" s="9"/>
      <c r="Z17" s="6"/>
      <c r="AC17">
        <f t="shared" si="25"/>
        <v>1</v>
      </c>
      <c r="AE17">
        <f t="shared" si="26"/>
        <v>1</v>
      </c>
      <c r="AG17">
        <f t="shared" si="27"/>
        <v>1</v>
      </c>
      <c r="AI17">
        <f t="shared" si="28"/>
        <v>0</v>
      </c>
    </row>
    <row r="18" spans="1:35" ht="12.75">
      <c r="A18" s="3">
        <f t="shared" si="29"/>
      </c>
      <c r="B18" s="14">
        <f t="shared" si="19"/>
      </c>
      <c r="C18" s="33"/>
      <c r="D18" s="22">
        <f ca="1">IF($A18="","",IF($A18&gt;E$1,INDIRECT("B"&amp;$A18-E$1+2,TRUE),INDIRECT("B"&amp;$O$1-E$1+$A18+2,TRUE)))</f>
      </c>
      <c r="E18" s="28"/>
      <c r="F18" s="161">
        <f ca="1">IF($A18="","",IF($A18&gt;G$1,INDIRECT("B"&amp;$A18-G$1+2,TRUE),INDIRECT("B"&amp;$O$1-G$1+$A18+2,TRUE)))</f>
      </c>
      <c r="G18" s="33"/>
      <c r="H18" s="165">
        <f ca="1">IF($A18="","",IF($A18&gt;I$1,INDIRECT("B"&amp;$A18-I$1+2,TRUE),INDIRECT("B"&amp;$O$1-I$1+$A18+2,TRUE)))</f>
      </c>
      <c r="I18" s="28"/>
      <c r="L18" s="116">
        <f t="shared" si="11"/>
        <v>0.001388888888888889</v>
      </c>
      <c r="M18">
        <f t="shared" si="12"/>
      </c>
      <c r="N18" s="58">
        <f t="shared" si="20"/>
      </c>
      <c r="O18" s="112"/>
      <c r="P18" s="5">
        <f t="shared" si="3"/>
      </c>
      <c r="Q18" s="9">
        <f t="shared" si="4"/>
      </c>
      <c r="R18" s="68"/>
      <c r="S18" s="64">
        <f t="shared" si="21"/>
      </c>
      <c r="T18" s="65">
        <f t="shared" si="22"/>
      </c>
      <c r="U18" s="9">
        <f t="shared" si="23"/>
      </c>
      <c r="V18" s="9">
        <f t="shared" si="7"/>
      </c>
      <c r="W18" s="6">
        <f t="shared" si="24"/>
      </c>
      <c r="X18" s="5"/>
      <c r="Y18" s="9"/>
      <c r="Z18" s="6"/>
      <c r="AC18">
        <f t="shared" si="25"/>
      </c>
      <c r="AE18">
        <f t="shared" si="26"/>
      </c>
      <c r="AG18">
        <f t="shared" si="27"/>
      </c>
      <c r="AI18">
        <f t="shared" si="28"/>
      </c>
    </row>
    <row r="19" spans="1:35" ht="12.75">
      <c r="A19" s="3">
        <f t="shared" si="29"/>
      </c>
      <c r="B19" s="14">
        <f t="shared" si="19"/>
      </c>
      <c r="C19" s="33"/>
      <c r="D19" s="22">
        <f ca="1">IF($A19="","",IF($A19&gt;E$1,INDIRECT("B"&amp;$A19-E$1+2,TRUE),INDIRECT("B"&amp;$O$1-E$1+$A19+2,TRUE)))</f>
      </c>
      <c r="E19" s="28"/>
      <c r="F19" s="161">
        <f ca="1">IF($A19="","",IF($A19&gt;G$1,INDIRECT("B"&amp;$A19-G$1+2,TRUE),INDIRECT("B"&amp;$O$1-G$1+$A19+2,TRUE)))</f>
      </c>
      <c r="G19" s="33"/>
      <c r="H19" s="165">
        <f ca="1">IF($A19="","",IF($A19&gt;I$1,INDIRECT("B"&amp;$A19-I$1+2,TRUE),INDIRECT("B"&amp;$O$1-I$1+$A19+2,TRUE)))</f>
      </c>
      <c r="I19" s="28"/>
      <c r="L19" s="116">
        <f t="shared" si="11"/>
        <v>0.001388888888888889</v>
      </c>
      <c r="M19">
        <f t="shared" si="12"/>
      </c>
      <c r="N19" s="58">
        <f t="shared" si="20"/>
      </c>
      <c r="O19" s="3"/>
      <c r="P19" s="5">
        <f t="shared" si="3"/>
      </c>
      <c r="Q19" s="9">
        <f t="shared" si="4"/>
      </c>
      <c r="R19" s="68"/>
      <c r="S19" s="64">
        <f t="shared" si="21"/>
      </c>
      <c r="T19" s="65">
        <f t="shared" si="22"/>
      </c>
      <c r="U19" s="9">
        <f t="shared" si="23"/>
      </c>
      <c r="V19" s="9">
        <f t="shared" si="7"/>
      </c>
      <c r="W19" s="6">
        <f>IF(O19="","",U19+V19)</f>
      </c>
      <c r="X19" s="5"/>
      <c r="Y19" s="9"/>
      <c r="Z19" s="6"/>
      <c r="AC19">
        <f t="shared" si="25"/>
      </c>
      <c r="AE19">
        <f t="shared" si="26"/>
      </c>
      <c r="AG19">
        <f t="shared" si="27"/>
      </c>
      <c r="AI19">
        <f t="shared" si="28"/>
      </c>
    </row>
    <row r="20" spans="1:35" ht="12.75">
      <c r="A20" s="3">
        <f>IF(B20="","",A19+1)</f>
      </c>
      <c r="B20" s="14">
        <f t="shared" si="0"/>
      </c>
      <c r="C20" s="33"/>
      <c r="D20" s="22">
        <f aca="true" ca="1" t="shared" si="30" ref="D20:D32">IF($A20="","",IF($A20&gt;E$1,INDIRECT("B"&amp;$A20-E$1+2,TRUE),INDIRECT("B"&amp;$O$1-E$1+$A20+2,TRUE)))</f>
      </c>
      <c r="E20" s="28"/>
      <c r="F20" s="161">
        <f aca="true" ca="1" t="shared" si="31" ref="F20:F32">IF($A20="","",IF($A20&gt;G$1,INDIRECT("B"&amp;$A20-G$1+2,TRUE),INDIRECT("B"&amp;$O$1-G$1+$A20+2,TRUE)))</f>
      </c>
      <c r="G20" s="33"/>
      <c r="H20" s="165">
        <f aca="true" ca="1" t="shared" si="32" ref="H20:H32">IF($A20="","",IF($A20&gt;I$1,INDIRECT("B"&amp;$A20-I$1+2,TRUE),INDIRECT("B"&amp;$O$1-I$1+$A20+2,TRUE)))</f>
      </c>
      <c r="I20" s="28"/>
      <c r="L20" s="116">
        <f t="shared" si="11"/>
        <v>0.001388888888888889</v>
      </c>
      <c r="M20">
        <f t="shared" si="12"/>
      </c>
      <c r="N20" s="58">
        <f t="shared" si="13"/>
      </c>
      <c r="O20" s="3"/>
      <c r="P20" s="5">
        <f t="shared" si="3"/>
      </c>
      <c r="Q20" s="9">
        <f t="shared" si="4"/>
      </c>
      <c r="R20" s="68"/>
      <c r="S20" s="64">
        <f t="shared" si="5"/>
      </c>
      <c r="T20" s="65">
        <f t="shared" si="6"/>
      </c>
      <c r="U20" s="9">
        <f t="shared" si="18"/>
      </c>
      <c r="V20" s="51">
        <f t="shared" si="7"/>
      </c>
      <c r="W20" s="6">
        <f t="shared" si="8"/>
      </c>
      <c r="X20" s="5"/>
      <c r="Y20" s="9"/>
      <c r="Z20" s="6"/>
      <c r="AC20">
        <f t="shared" si="14"/>
      </c>
      <c r="AE20">
        <f t="shared" si="15"/>
      </c>
      <c r="AG20">
        <f t="shared" si="16"/>
      </c>
      <c r="AI20">
        <f t="shared" si="17"/>
      </c>
    </row>
    <row r="21" spans="1:35" ht="12.75">
      <c r="A21" s="3">
        <f t="shared" si="9"/>
      </c>
      <c r="B21" s="14">
        <f t="shared" si="0"/>
      </c>
      <c r="C21" s="33"/>
      <c r="D21" s="22">
        <f ca="1" t="shared" si="30"/>
      </c>
      <c r="E21" s="28"/>
      <c r="F21" s="161">
        <f ca="1" t="shared" si="31"/>
      </c>
      <c r="G21" s="33"/>
      <c r="H21" s="165">
        <f ca="1" t="shared" si="32"/>
      </c>
      <c r="I21" s="28"/>
      <c r="L21" s="116">
        <f t="shared" si="11"/>
        <v>0.001388888888888889</v>
      </c>
      <c r="M21">
        <f t="shared" si="12"/>
      </c>
      <c r="N21" s="58">
        <f t="shared" si="13"/>
      </c>
      <c r="O21" s="3"/>
      <c r="P21" s="5">
        <f t="shared" si="3"/>
      </c>
      <c r="Q21" s="9">
        <f t="shared" si="4"/>
      </c>
      <c r="R21" s="68"/>
      <c r="S21" s="64">
        <f t="shared" si="5"/>
      </c>
      <c r="T21" s="65">
        <f t="shared" si="6"/>
      </c>
      <c r="U21" s="9">
        <f t="shared" si="18"/>
      </c>
      <c r="V21" s="51">
        <f t="shared" si="7"/>
      </c>
      <c r="W21" s="6">
        <f t="shared" si="8"/>
      </c>
      <c r="X21" s="5"/>
      <c r="Y21" s="9"/>
      <c r="Z21" s="6"/>
      <c r="AC21">
        <f t="shared" si="14"/>
      </c>
      <c r="AE21">
        <f t="shared" si="15"/>
      </c>
      <c r="AG21">
        <f t="shared" si="16"/>
      </c>
      <c r="AI21">
        <f t="shared" si="17"/>
      </c>
    </row>
    <row r="22" spans="1:35" ht="12.75">
      <c r="A22" s="3">
        <f t="shared" si="9"/>
      </c>
      <c r="B22" s="14">
        <f t="shared" si="0"/>
      </c>
      <c r="C22" s="33"/>
      <c r="D22" s="22">
        <f ca="1" t="shared" si="30"/>
      </c>
      <c r="E22" s="28"/>
      <c r="F22" s="161">
        <f ca="1" t="shared" si="31"/>
      </c>
      <c r="G22" s="33"/>
      <c r="H22" s="165">
        <f ca="1" t="shared" si="32"/>
      </c>
      <c r="I22" s="28"/>
      <c r="L22" s="116">
        <f t="shared" si="11"/>
        <v>0.001388888888888889</v>
      </c>
      <c r="M22">
        <f t="shared" si="12"/>
      </c>
      <c r="N22" s="58">
        <f t="shared" si="13"/>
      </c>
      <c r="O22" s="3"/>
      <c r="P22" s="5">
        <f t="shared" si="3"/>
      </c>
      <c r="Q22" s="9">
        <f t="shared" si="4"/>
      </c>
      <c r="R22" s="68"/>
      <c r="S22" s="64">
        <f t="shared" si="5"/>
      </c>
      <c r="T22" s="65">
        <f t="shared" si="6"/>
      </c>
      <c r="U22" s="9">
        <f t="shared" si="18"/>
      </c>
      <c r="V22" s="9">
        <f t="shared" si="7"/>
      </c>
      <c r="W22" s="6">
        <f t="shared" si="8"/>
      </c>
      <c r="X22" s="5"/>
      <c r="Y22" s="9"/>
      <c r="Z22" s="6"/>
      <c r="AC22">
        <f t="shared" si="14"/>
      </c>
      <c r="AE22">
        <f t="shared" si="15"/>
      </c>
      <c r="AG22">
        <f t="shared" si="16"/>
      </c>
      <c r="AI22">
        <f t="shared" si="17"/>
      </c>
    </row>
    <row r="23" spans="1:35" ht="12.75">
      <c r="A23" s="3">
        <f t="shared" si="9"/>
      </c>
      <c r="B23" s="14">
        <f t="shared" si="0"/>
      </c>
      <c r="C23" s="33"/>
      <c r="D23" s="22">
        <f ca="1" t="shared" si="30"/>
      </c>
      <c r="E23" s="28"/>
      <c r="F23" s="161">
        <f ca="1" t="shared" si="31"/>
      </c>
      <c r="G23" s="33"/>
      <c r="H23" s="165">
        <f ca="1" t="shared" si="32"/>
      </c>
      <c r="I23" s="28"/>
      <c r="L23" s="116">
        <f t="shared" si="11"/>
        <v>0.001388888888888889</v>
      </c>
      <c r="M23">
        <f t="shared" si="12"/>
      </c>
      <c r="N23" s="58">
        <f t="shared" si="13"/>
      </c>
      <c r="O23" s="3"/>
      <c r="P23" s="5">
        <f t="shared" si="3"/>
      </c>
      <c r="Q23" s="9">
        <f t="shared" si="4"/>
      </c>
      <c r="R23" s="68"/>
      <c r="S23" s="64">
        <f t="shared" si="5"/>
      </c>
      <c r="T23" s="65">
        <f t="shared" si="6"/>
      </c>
      <c r="U23" s="9">
        <f t="shared" si="18"/>
      </c>
      <c r="V23" s="51">
        <f t="shared" si="7"/>
      </c>
      <c r="W23" s="6">
        <f t="shared" si="8"/>
      </c>
      <c r="X23" s="5"/>
      <c r="Y23" s="9"/>
      <c r="Z23" s="6"/>
      <c r="AC23">
        <f t="shared" si="14"/>
      </c>
      <c r="AE23">
        <f t="shared" si="15"/>
      </c>
      <c r="AG23">
        <f t="shared" si="16"/>
      </c>
      <c r="AI23">
        <f t="shared" si="17"/>
      </c>
    </row>
    <row r="24" spans="1:35" ht="12.75">
      <c r="A24" s="3">
        <f t="shared" si="9"/>
      </c>
      <c r="B24" s="14">
        <f t="shared" si="0"/>
      </c>
      <c r="C24" s="33"/>
      <c r="D24" s="22">
        <f ca="1" t="shared" si="30"/>
      </c>
      <c r="E24" s="28"/>
      <c r="F24" s="161">
        <f ca="1" t="shared" si="31"/>
      </c>
      <c r="G24" s="33"/>
      <c r="H24" s="165">
        <f ca="1" t="shared" si="32"/>
      </c>
      <c r="I24" s="28"/>
      <c r="L24" s="116">
        <f t="shared" si="11"/>
        <v>0.001388888888888889</v>
      </c>
      <c r="M24">
        <f t="shared" si="12"/>
      </c>
      <c r="N24" s="58">
        <f t="shared" si="13"/>
      </c>
      <c r="O24" s="3"/>
      <c r="P24" s="5">
        <f t="shared" si="3"/>
      </c>
      <c r="Q24" s="9">
        <f t="shared" si="4"/>
      </c>
      <c r="R24" s="68"/>
      <c r="S24" s="64">
        <f>IF(O24="","",IF(P24&lt;$Q$1,IF(R24&gt;0,-1,0),IF(Q24&gt;3,0,ROUND(((P24-$Q$1)/P24*(60-R24)*(4-Q24)/3),0))))</f>
      </c>
      <c r="T24" s="65">
        <f t="shared" si="6"/>
      </c>
      <c r="U24" s="9">
        <f t="shared" si="18"/>
      </c>
      <c r="V24" s="9">
        <f t="shared" si="7"/>
      </c>
      <c r="W24" s="6">
        <f t="shared" si="8"/>
      </c>
      <c r="X24" s="5"/>
      <c r="Y24" s="9"/>
      <c r="Z24" s="6"/>
      <c r="AC24">
        <f t="shared" si="14"/>
      </c>
      <c r="AE24">
        <f t="shared" si="15"/>
      </c>
      <c r="AG24">
        <f t="shared" si="16"/>
      </c>
      <c r="AI24">
        <f t="shared" si="17"/>
      </c>
    </row>
    <row r="25" spans="1:35" ht="12.75">
      <c r="A25" s="3">
        <f t="shared" si="9"/>
      </c>
      <c r="B25" s="14">
        <f t="shared" si="0"/>
      </c>
      <c r="C25" s="33"/>
      <c r="D25" s="22">
        <f ca="1" t="shared" si="30"/>
      </c>
      <c r="E25" s="28"/>
      <c r="F25" s="161">
        <f ca="1" t="shared" si="31"/>
      </c>
      <c r="G25" s="33"/>
      <c r="H25" s="165">
        <f ca="1" t="shared" si="32"/>
      </c>
      <c r="I25" s="28"/>
      <c r="L25" s="116">
        <f t="shared" si="11"/>
        <v>0.001388888888888889</v>
      </c>
      <c r="M25">
        <f t="shared" si="12"/>
      </c>
      <c r="N25" s="58">
        <f t="shared" si="13"/>
      </c>
      <c r="O25" s="3"/>
      <c r="P25" s="5">
        <f t="shared" si="3"/>
      </c>
      <c r="Q25" s="9">
        <f t="shared" si="4"/>
      </c>
      <c r="R25" s="68"/>
      <c r="S25" s="64">
        <f aca="true" t="shared" si="33" ref="S25:S32">IF(O25="","",IF(P25&lt;$Q$1,IF(R25&gt;0,-1,0),IF(Q25&gt;3,0,ROUND(((P25-$Q$1)/P25*(60-R25)*(4-Q25)/3),0))))</f>
      </c>
      <c r="T25" s="65">
        <f t="shared" si="6"/>
      </c>
      <c r="U25" s="9">
        <f t="shared" si="18"/>
      </c>
      <c r="V25" s="9">
        <f t="shared" si="7"/>
      </c>
      <c r="W25" s="6">
        <f t="shared" si="8"/>
      </c>
      <c r="X25" s="5"/>
      <c r="Y25" s="9"/>
      <c r="Z25" s="6"/>
      <c r="AC25">
        <f t="shared" si="14"/>
      </c>
      <c r="AE25">
        <f t="shared" si="15"/>
      </c>
      <c r="AG25">
        <f t="shared" si="16"/>
      </c>
      <c r="AI25">
        <f t="shared" si="17"/>
      </c>
    </row>
    <row r="26" spans="1:35" ht="12.75">
      <c r="A26" s="3">
        <f t="shared" si="9"/>
      </c>
      <c r="B26" s="14">
        <f t="shared" si="0"/>
      </c>
      <c r="C26" s="33"/>
      <c r="D26" s="22">
        <f ca="1" t="shared" si="30"/>
      </c>
      <c r="E26" s="28"/>
      <c r="F26" s="161">
        <f ca="1" t="shared" si="31"/>
      </c>
      <c r="G26" s="33"/>
      <c r="H26" s="165">
        <f ca="1" t="shared" si="32"/>
      </c>
      <c r="I26" s="28"/>
      <c r="L26" s="116">
        <f t="shared" si="11"/>
        <v>0.001388888888888889</v>
      </c>
      <c r="M26">
        <f t="shared" si="12"/>
      </c>
      <c r="N26" s="58">
        <f t="shared" si="13"/>
      </c>
      <c r="O26" s="3"/>
      <c r="P26" s="5">
        <f t="shared" si="3"/>
      </c>
      <c r="Q26" s="9">
        <f t="shared" si="4"/>
      </c>
      <c r="R26" s="68"/>
      <c r="S26" s="64">
        <f t="shared" si="33"/>
      </c>
      <c r="T26" s="65">
        <f t="shared" si="6"/>
      </c>
      <c r="U26" s="9">
        <f t="shared" si="18"/>
      </c>
      <c r="V26" s="9">
        <f t="shared" si="7"/>
      </c>
      <c r="W26" s="6">
        <f t="shared" si="8"/>
      </c>
      <c r="X26" s="5"/>
      <c r="Y26" s="9"/>
      <c r="Z26" s="6"/>
      <c r="AC26">
        <f t="shared" si="14"/>
      </c>
      <c r="AE26">
        <f t="shared" si="15"/>
      </c>
      <c r="AG26">
        <f t="shared" si="16"/>
      </c>
      <c r="AI26">
        <f t="shared" si="17"/>
      </c>
    </row>
    <row r="27" spans="1:35" ht="12.75">
      <c r="A27" s="3">
        <f t="shared" si="9"/>
      </c>
      <c r="B27" s="14">
        <f t="shared" si="0"/>
      </c>
      <c r="C27" s="33"/>
      <c r="D27" s="22">
        <f ca="1" t="shared" si="30"/>
      </c>
      <c r="E27" s="28"/>
      <c r="F27" s="161">
        <f ca="1" t="shared" si="31"/>
      </c>
      <c r="G27" s="33"/>
      <c r="H27" s="165">
        <f ca="1" t="shared" si="32"/>
      </c>
      <c r="I27" s="28"/>
      <c r="L27" s="116">
        <f t="shared" si="11"/>
        <v>0.001388888888888889</v>
      </c>
      <c r="M27">
        <f t="shared" si="12"/>
      </c>
      <c r="N27" s="58">
        <f t="shared" si="13"/>
      </c>
      <c r="O27" s="3"/>
      <c r="P27" s="5">
        <f t="shared" si="3"/>
      </c>
      <c r="Q27" s="9">
        <f t="shared" si="4"/>
      </c>
      <c r="R27" s="68"/>
      <c r="S27" s="64">
        <f t="shared" si="33"/>
      </c>
      <c r="T27" s="65">
        <f t="shared" si="6"/>
      </c>
      <c r="U27" s="9">
        <f t="shared" si="18"/>
      </c>
      <c r="V27" s="9">
        <f t="shared" si="7"/>
      </c>
      <c r="W27" s="6">
        <f t="shared" si="8"/>
      </c>
      <c r="X27" s="5"/>
      <c r="Y27" s="9"/>
      <c r="Z27" s="6"/>
      <c r="AC27">
        <f t="shared" si="14"/>
      </c>
      <c r="AE27">
        <f t="shared" si="15"/>
      </c>
      <c r="AG27">
        <f t="shared" si="16"/>
      </c>
      <c r="AI27">
        <f t="shared" si="17"/>
      </c>
    </row>
    <row r="28" spans="1:35" ht="12.75">
      <c r="A28" s="3">
        <f t="shared" si="9"/>
      </c>
      <c r="B28" s="14">
        <f t="shared" si="0"/>
      </c>
      <c r="C28" s="33"/>
      <c r="D28" s="22">
        <f ca="1" t="shared" si="30"/>
      </c>
      <c r="E28" s="28"/>
      <c r="F28" s="161">
        <f ca="1" t="shared" si="31"/>
      </c>
      <c r="G28" s="33"/>
      <c r="H28" s="212">
        <f ca="1" t="shared" si="32"/>
      </c>
      <c r="I28" s="28"/>
      <c r="L28" s="116">
        <f t="shared" si="11"/>
        <v>0.001388888888888889</v>
      </c>
      <c r="M28">
        <f t="shared" si="12"/>
      </c>
      <c r="N28" s="58">
        <f t="shared" si="13"/>
      </c>
      <c r="O28" s="3"/>
      <c r="P28" s="5">
        <f t="shared" si="3"/>
      </c>
      <c r="Q28" s="9">
        <f t="shared" si="4"/>
      </c>
      <c r="R28" s="68"/>
      <c r="S28" s="64">
        <f t="shared" si="33"/>
      </c>
      <c r="T28" s="65">
        <f t="shared" si="6"/>
      </c>
      <c r="U28" s="9">
        <f t="shared" si="18"/>
      </c>
      <c r="V28" s="9">
        <f t="shared" si="7"/>
      </c>
      <c r="W28" s="6">
        <f t="shared" si="8"/>
      </c>
      <c r="X28" s="5"/>
      <c r="Y28" s="9"/>
      <c r="Z28" s="6"/>
      <c r="AC28">
        <f t="shared" si="14"/>
      </c>
      <c r="AE28">
        <f t="shared" si="15"/>
      </c>
      <c r="AG28">
        <f t="shared" si="16"/>
      </c>
      <c r="AI28">
        <f t="shared" si="17"/>
      </c>
    </row>
    <row r="29" spans="1:35" ht="12.75">
      <c r="A29" s="3">
        <f t="shared" si="9"/>
      </c>
      <c r="B29" s="14">
        <f t="shared" si="0"/>
      </c>
      <c r="C29" s="33"/>
      <c r="D29" s="22">
        <f ca="1" t="shared" si="30"/>
      </c>
      <c r="E29" s="28"/>
      <c r="F29" s="161">
        <f ca="1" t="shared" si="31"/>
      </c>
      <c r="G29" s="33"/>
      <c r="H29" s="212">
        <f ca="1" t="shared" si="32"/>
      </c>
      <c r="I29" s="28"/>
      <c r="L29" s="116">
        <f t="shared" si="11"/>
        <v>0.001388888888888889</v>
      </c>
      <c r="M29">
        <f t="shared" si="12"/>
      </c>
      <c r="N29" s="58">
        <f t="shared" si="13"/>
      </c>
      <c r="O29" s="3"/>
      <c r="P29" s="5">
        <f t="shared" si="3"/>
      </c>
      <c r="Q29" s="9">
        <f t="shared" si="4"/>
      </c>
      <c r="R29" s="68"/>
      <c r="S29" s="64">
        <f t="shared" si="33"/>
      </c>
      <c r="T29" s="65">
        <f t="shared" si="6"/>
      </c>
      <c r="U29" s="9">
        <f t="shared" si="18"/>
      </c>
      <c r="V29" s="9">
        <f t="shared" si="7"/>
      </c>
      <c r="W29" s="6">
        <f>IF(O29="","",U29+V29)</f>
      </c>
      <c r="X29" s="5"/>
      <c r="Y29" s="9"/>
      <c r="Z29" s="6"/>
      <c r="AC29">
        <f t="shared" si="14"/>
      </c>
      <c r="AE29">
        <f t="shared" si="15"/>
      </c>
      <c r="AG29">
        <f t="shared" si="16"/>
      </c>
      <c r="AI29">
        <f t="shared" si="17"/>
      </c>
    </row>
    <row r="30" spans="1:35" ht="12.75">
      <c r="A30" s="3">
        <f t="shared" si="9"/>
      </c>
      <c r="B30" s="14">
        <f t="shared" si="0"/>
      </c>
      <c r="C30" s="33"/>
      <c r="D30" s="22">
        <f ca="1" t="shared" si="30"/>
      </c>
      <c r="E30" s="28"/>
      <c r="F30" s="161">
        <f ca="1" t="shared" si="31"/>
      </c>
      <c r="G30" s="33"/>
      <c r="H30" s="212">
        <f ca="1" t="shared" si="32"/>
      </c>
      <c r="I30" s="28"/>
      <c r="L30" s="116">
        <f t="shared" si="11"/>
        <v>0.001388888888888889</v>
      </c>
      <c r="M30">
        <f t="shared" si="12"/>
      </c>
      <c r="N30" s="58">
        <f t="shared" si="13"/>
      </c>
      <c r="O30" s="3"/>
      <c r="P30" s="5">
        <f t="shared" si="3"/>
      </c>
      <c r="Q30" s="9">
        <f t="shared" si="4"/>
      </c>
      <c r="R30" s="68"/>
      <c r="S30" s="64">
        <f t="shared" si="33"/>
      </c>
      <c r="T30" s="65">
        <f t="shared" si="6"/>
      </c>
      <c r="U30" s="9">
        <f t="shared" si="18"/>
      </c>
      <c r="V30" s="9">
        <f t="shared" si="7"/>
      </c>
      <c r="W30" s="6">
        <f>IF(O30="","",U30+V30)</f>
      </c>
      <c r="X30" s="5"/>
      <c r="Y30" s="9"/>
      <c r="Z30" s="6"/>
      <c r="AC30">
        <f t="shared" si="14"/>
      </c>
      <c r="AE30">
        <f t="shared" si="15"/>
      </c>
      <c r="AG30">
        <f t="shared" si="16"/>
      </c>
      <c r="AI30">
        <f t="shared" si="17"/>
      </c>
    </row>
    <row r="31" spans="1:35" ht="12.75">
      <c r="A31" s="3">
        <f t="shared" si="9"/>
      </c>
      <c r="B31" s="14">
        <f t="shared" si="0"/>
      </c>
      <c r="C31" s="33"/>
      <c r="D31" s="22">
        <f ca="1" t="shared" si="30"/>
      </c>
      <c r="E31" s="28"/>
      <c r="F31" s="161">
        <f ca="1" t="shared" si="31"/>
      </c>
      <c r="G31" s="33"/>
      <c r="H31" s="212">
        <f ca="1" t="shared" si="32"/>
      </c>
      <c r="I31" s="28"/>
      <c r="L31" s="116">
        <f t="shared" si="11"/>
        <v>0.001388888888888889</v>
      </c>
      <c r="M31">
        <f t="shared" si="12"/>
      </c>
      <c r="N31" s="58">
        <f t="shared" si="13"/>
      </c>
      <c r="O31" s="3"/>
      <c r="P31" s="5">
        <f t="shared" si="3"/>
      </c>
      <c r="Q31" s="9">
        <f t="shared" si="4"/>
      </c>
      <c r="R31" s="68"/>
      <c r="S31" s="64">
        <f t="shared" si="33"/>
      </c>
      <c r="T31" s="65">
        <f t="shared" si="6"/>
      </c>
      <c r="U31" s="9">
        <f t="shared" si="18"/>
      </c>
      <c r="V31" s="9">
        <f t="shared" si="7"/>
      </c>
      <c r="W31" s="6">
        <f>IF(O31="","",U31+V31)</f>
      </c>
      <c r="X31" s="5"/>
      <c r="Y31" s="9"/>
      <c r="Z31" s="6"/>
      <c r="AC31">
        <f t="shared" si="14"/>
      </c>
      <c r="AE31">
        <f t="shared" si="15"/>
      </c>
      <c r="AG31">
        <f t="shared" si="16"/>
      </c>
      <c r="AI31">
        <f t="shared" si="17"/>
      </c>
    </row>
    <row r="32" spans="1:35" ht="12.75">
      <c r="A32" s="10">
        <f t="shared" si="9"/>
      </c>
      <c r="B32" s="15">
        <f t="shared" si="0"/>
      </c>
      <c r="C32" s="36"/>
      <c r="D32" s="23">
        <f ca="1" t="shared" si="30"/>
      </c>
      <c r="E32" s="29"/>
      <c r="F32" s="203">
        <f ca="1" t="shared" si="31"/>
      </c>
      <c r="G32" s="36"/>
      <c r="H32" s="213">
        <f ca="1" t="shared" si="32"/>
      </c>
      <c r="I32" s="29"/>
      <c r="L32" s="116">
        <f t="shared" si="11"/>
        <v>0.001388888888888889</v>
      </c>
      <c r="M32">
        <f t="shared" si="12"/>
      </c>
      <c r="N32" s="59">
        <f t="shared" si="13"/>
      </c>
      <c r="O32" s="10"/>
      <c r="P32" s="7">
        <f t="shared" si="3"/>
      </c>
      <c r="Q32" s="32">
        <f t="shared" si="4"/>
      </c>
      <c r="R32" s="71"/>
      <c r="S32" s="66">
        <f t="shared" si="33"/>
      </c>
      <c r="T32" s="67">
        <f t="shared" si="6"/>
      </c>
      <c r="U32" s="32">
        <f t="shared" si="18"/>
      </c>
      <c r="V32" s="32">
        <f t="shared" si="7"/>
      </c>
      <c r="W32" s="8">
        <f>IF(O32="","",U32+V32)</f>
      </c>
      <c r="X32" s="7"/>
      <c r="Y32" s="32"/>
      <c r="Z32" s="8"/>
      <c r="AC32">
        <f t="shared" si="14"/>
      </c>
      <c r="AE32">
        <f t="shared" si="15"/>
      </c>
      <c r="AG32">
        <f t="shared" si="16"/>
      </c>
      <c r="AI32">
        <f t="shared" si="17"/>
      </c>
    </row>
    <row r="34" spans="1:6" ht="12.75">
      <c r="A34" s="9"/>
      <c r="B34" s="9"/>
      <c r="C34" s="9"/>
      <c r="D34" s="9"/>
      <c r="E34" s="9"/>
      <c r="F34" s="9"/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ht="12.75">
      <c r="A38" s="9"/>
      <c r="B38" s="9"/>
      <c r="C38" s="9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</sheetData>
  <sheetProtection selectLockedCells="1"/>
  <mergeCells count="1">
    <mergeCell ref="U1:W1"/>
  </mergeCells>
  <printOptions/>
  <pageMargins left="0.75" right="0.75" top="1" bottom="1" header="0.5" footer="0.5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I32"/>
  <sheetViews>
    <sheetView zoomScalePageLayoutView="0" workbookViewId="0" topLeftCell="A1">
      <selection activeCell="D6" sqref="D6"/>
    </sheetView>
  </sheetViews>
  <sheetFormatPr defaultColWidth="9.140625" defaultRowHeight="12.75"/>
  <cols>
    <col min="10" max="13" width="9.140625" style="0" hidden="1" customWidth="1"/>
    <col min="14" max="14" width="12.28125" style="0" customWidth="1"/>
  </cols>
  <sheetData>
    <row r="1" spans="1:22" ht="12.75">
      <c r="A1" s="1"/>
      <c r="B1" s="196" t="s">
        <v>89</v>
      </c>
      <c r="C1" s="196"/>
      <c r="D1" s="199" t="s">
        <v>90</v>
      </c>
      <c r="E1" s="199"/>
      <c r="F1" s="225" t="s">
        <v>91</v>
      </c>
      <c r="G1" s="225"/>
      <c r="H1" s="226" t="s">
        <v>92</v>
      </c>
      <c r="I1" s="226"/>
      <c r="J1" s="1"/>
      <c r="K1" s="1"/>
      <c r="L1" s="116">
        <v>0.001388888888888889</v>
      </c>
      <c r="M1" s="1"/>
      <c r="N1" s="1"/>
      <c r="O1" s="1"/>
      <c r="P1" s="195"/>
      <c r="Q1" s="195"/>
      <c r="R1" s="195" t="s">
        <v>7</v>
      </c>
      <c r="S1" s="195"/>
      <c r="T1" s="192" t="s">
        <v>11</v>
      </c>
      <c r="U1" s="193"/>
      <c r="V1" s="194"/>
    </row>
    <row r="2" spans="1:22" ht="12.75">
      <c r="A2" s="1" t="s">
        <v>0</v>
      </c>
      <c r="B2" s="12" t="s">
        <v>1</v>
      </c>
      <c r="C2" s="12" t="s">
        <v>2</v>
      </c>
      <c r="D2" s="20" t="s">
        <v>1</v>
      </c>
      <c r="E2" s="31" t="s">
        <v>2</v>
      </c>
      <c r="F2" s="160" t="s">
        <v>1</v>
      </c>
      <c r="G2" s="214" t="s">
        <v>2</v>
      </c>
      <c r="H2" s="222" t="s">
        <v>1</v>
      </c>
      <c r="I2" s="31" t="s">
        <v>2</v>
      </c>
      <c r="J2" s="1"/>
      <c r="K2" s="1"/>
      <c r="L2" s="1"/>
      <c r="M2" s="1"/>
      <c r="N2" s="1" t="s">
        <v>3</v>
      </c>
      <c r="O2" s="1" t="s">
        <v>1</v>
      </c>
      <c r="P2" s="1" t="s">
        <v>2</v>
      </c>
      <c r="Q2" s="1" t="s">
        <v>6</v>
      </c>
      <c r="R2" s="1" t="s">
        <v>2</v>
      </c>
      <c r="S2" s="1" t="s">
        <v>6</v>
      </c>
      <c r="T2" s="31" t="s">
        <v>12</v>
      </c>
      <c r="U2" s="31" t="s">
        <v>13</v>
      </c>
      <c r="V2" s="31" t="s">
        <v>14</v>
      </c>
    </row>
    <row r="3" spans="1:35" ht="12.75">
      <c r="A3" s="2">
        <v>1</v>
      </c>
      <c r="B3" s="13" t="str">
        <f aca="true" t="shared" si="0" ref="B3:B22">IF(O3="","",O3)</f>
        <v>Karl</v>
      </c>
      <c r="C3" s="27">
        <v>44</v>
      </c>
      <c r="D3" s="21" t="str">
        <f>B4</f>
        <v>John</v>
      </c>
      <c r="E3" s="27">
        <v>41</v>
      </c>
      <c r="F3" s="217" t="str">
        <f>B6</f>
        <v>empty</v>
      </c>
      <c r="G3" s="27">
        <v>0</v>
      </c>
      <c r="H3" s="223" t="str">
        <f>B5</f>
        <v>Geoff</v>
      </c>
      <c r="I3" s="27">
        <v>28</v>
      </c>
      <c r="L3" s="116">
        <v>0.001388888888888889</v>
      </c>
      <c r="M3" s="4">
        <f aca="true" t="shared" si="1" ref="M3:M22">IF(O3="","",IF(N3=P$1,P3,R3))</f>
      </c>
      <c r="N3" s="2" t="s">
        <v>8</v>
      </c>
      <c r="O3" t="s">
        <v>10</v>
      </c>
      <c r="P3" s="4">
        <f aca="true" t="shared" si="2" ref="P3:P22">IF($O3&gt;" ",IF(OR(P$1="",P$1=$N3),0+INDEX($C$3:$C$22,MATCH($O3,$B$3:$B$22,0),1)+INDEX($E$3:$E$22,MATCH($O3,$D$3:$D$22,0),1)+INDEX($G$3:$G$22,MATCH($O3,$F$3:$F$22,0),1)+INDEX($I$3:$I$22,MATCH($O3,$H$3:$H$22,0),1),""),"")</f>
        <v>158</v>
      </c>
      <c r="Q3" s="11">
        <f aca="true" t="shared" si="3" ref="Q3:Q22">IF(ISNUMBER(P3),RANK(P3,P$3:P$22,0),"")</f>
        <v>1</v>
      </c>
      <c r="R3" s="4">
        <f aca="true" t="shared" si="4" ref="R3:R22">IF($O3&gt;" ",IF(OR(R$1="",R$1=$N3),0+INDEX($C$3:$C$22,MATCH($O3,$B$3:$B$22,0),1)+INDEX($E$3:$E$22,MATCH($O3,$D$3:$D$22,0),1)+INDEX($G$3:$G$22,MATCH($O3,$F$3:$F$22,0),1)+INDEX($I$3:$I$22,MATCH($O3,$H$3:$H$22,0),1),""),"")</f>
      </c>
      <c r="S3" s="11">
        <f aca="true" t="shared" si="5" ref="S3:S22">IF(ISNUMBER(R3),RANK(R3,R$3:R$22,0),"")</f>
      </c>
      <c r="T3" s="5"/>
      <c r="U3" s="30"/>
      <c r="V3" s="11"/>
      <c r="AC3">
        <f>IF(B3="","",IF(RANK(C3,$B3:$I3)=1,1,0))</f>
        <v>1</v>
      </c>
      <c r="AE3">
        <f>IF(D3="","",IF(RANK(E3,$B3:$I3)=1,1,0))</f>
        <v>0</v>
      </c>
      <c r="AG3">
        <f>IF(F3="","",IF(RANK(G3,$B3:$I3)=1,1,0))</f>
        <v>0</v>
      </c>
      <c r="AI3">
        <f>IF(H3="","",IF(RANK(I3,$B3:$I3)=1,1,0))</f>
        <v>0</v>
      </c>
    </row>
    <row r="4" spans="1:35" ht="12.75">
      <c r="A4" s="3">
        <v>2</v>
      </c>
      <c r="B4" s="14" t="str">
        <f t="shared" si="0"/>
        <v>John</v>
      </c>
      <c r="C4" s="28">
        <v>42</v>
      </c>
      <c r="D4" s="22" t="str">
        <f>B5</f>
        <v>Geoff</v>
      </c>
      <c r="E4" s="28">
        <v>36</v>
      </c>
      <c r="F4" s="218" t="str">
        <f>B3</f>
        <v>Karl</v>
      </c>
      <c r="G4" s="28">
        <v>43</v>
      </c>
      <c r="H4" s="212" t="str">
        <f>B6</f>
        <v>empty</v>
      </c>
      <c r="I4" s="28">
        <v>0</v>
      </c>
      <c r="L4" s="116">
        <f>L$1</f>
        <v>0.001388888888888889</v>
      </c>
      <c r="M4">
        <f t="shared" si="1"/>
        <v>150</v>
      </c>
      <c r="N4" s="3" t="s">
        <v>7</v>
      </c>
      <c r="O4" t="s">
        <v>107</v>
      </c>
      <c r="P4" s="5">
        <f t="shared" si="2"/>
        <v>150</v>
      </c>
      <c r="Q4" s="6">
        <f t="shared" si="3"/>
        <v>2</v>
      </c>
      <c r="R4" s="5">
        <f t="shared" si="4"/>
        <v>150</v>
      </c>
      <c r="S4" s="6">
        <f t="shared" si="5"/>
        <v>1</v>
      </c>
      <c r="T4" s="5"/>
      <c r="U4" s="9"/>
      <c r="V4" s="6"/>
      <c r="AC4">
        <f aca="true" t="shared" si="6" ref="AC4:AC22">IF(B4="","",IF(RANK(C4,$B4:$I4)=1,1,0))</f>
        <v>0</v>
      </c>
      <c r="AE4">
        <f aca="true" t="shared" si="7" ref="AE4:AE22">IF(D4="","",IF(RANK(E4,$B4:$I4)=1,1,0))</f>
        <v>0</v>
      </c>
      <c r="AG4">
        <f aca="true" t="shared" si="8" ref="AG4:AG22">IF(F4="","",IF(RANK(G4,$B4:$I4)=1,1,0))</f>
        <v>1</v>
      </c>
      <c r="AI4">
        <f aca="true" t="shared" si="9" ref="AI4:AI22">IF(H4="","",IF(RANK(I4,$B4:$I4)=1,1,0))</f>
        <v>0</v>
      </c>
    </row>
    <row r="5" spans="1:35" ht="12.75">
      <c r="A5" s="3">
        <v>3</v>
      </c>
      <c r="B5" s="14" t="str">
        <f t="shared" si="0"/>
        <v>Geoff</v>
      </c>
      <c r="C5" s="28">
        <v>32</v>
      </c>
      <c r="D5" s="22" t="str">
        <f>B6</f>
        <v>empty</v>
      </c>
      <c r="E5" s="28">
        <v>0</v>
      </c>
      <c r="F5" s="218" t="str">
        <f>B4</f>
        <v>John</v>
      </c>
      <c r="G5" s="28">
        <v>39</v>
      </c>
      <c r="H5" s="212" t="str">
        <f>B3</f>
        <v>Karl</v>
      </c>
      <c r="I5" s="28">
        <v>33</v>
      </c>
      <c r="L5" s="116">
        <f>L$1</f>
        <v>0.001388888888888889</v>
      </c>
      <c r="M5">
        <f t="shared" si="1"/>
      </c>
      <c r="N5" s="3" t="s">
        <v>8</v>
      </c>
      <c r="O5" t="s">
        <v>28</v>
      </c>
      <c r="P5" s="5">
        <f t="shared" si="2"/>
        <v>130</v>
      </c>
      <c r="Q5" s="6">
        <f t="shared" si="3"/>
        <v>4</v>
      </c>
      <c r="R5" s="5">
        <f t="shared" si="4"/>
      </c>
      <c r="S5" s="6">
        <f t="shared" si="5"/>
      </c>
      <c r="T5" s="5"/>
      <c r="U5" s="9"/>
      <c r="V5" s="6"/>
      <c r="AC5">
        <f t="shared" si="6"/>
        <v>0</v>
      </c>
      <c r="AE5">
        <f t="shared" si="7"/>
        <v>0</v>
      </c>
      <c r="AG5">
        <f t="shared" si="8"/>
        <v>1</v>
      </c>
      <c r="AI5">
        <f t="shared" si="9"/>
        <v>0</v>
      </c>
    </row>
    <row r="6" spans="1:35" ht="12.75">
      <c r="A6" s="10">
        <v>4</v>
      </c>
      <c r="B6" s="15" t="str">
        <f t="shared" si="0"/>
        <v>empty</v>
      </c>
      <c r="C6" s="29">
        <v>0</v>
      </c>
      <c r="D6" s="23" t="str">
        <f>B3</f>
        <v>Karl</v>
      </c>
      <c r="E6" s="29">
        <v>38</v>
      </c>
      <c r="F6" s="219" t="str">
        <f>B5</f>
        <v>Geoff</v>
      </c>
      <c r="G6" s="29">
        <v>34</v>
      </c>
      <c r="H6" s="213" t="str">
        <f>B4</f>
        <v>John</v>
      </c>
      <c r="I6" s="29">
        <v>28</v>
      </c>
      <c r="L6" s="116">
        <f>L$1</f>
        <v>0.001388888888888889</v>
      </c>
      <c r="M6">
        <f t="shared" si="1"/>
      </c>
      <c r="N6" s="3" t="s">
        <v>117</v>
      </c>
      <c r="O6" t="s">
        <v>109</v>
      </c>
      <c r="P6" s="5">
        <f t="shared" si="2"/>
        <v>0</v>
      </c>
      <c r="Q6" s="6">
        <f t="shared" si="3"/>
        <v>10</v>
      </c>
      <c r="R6" s="5">
        <f t="shared" si="4"/>
      </c>
      <c r="S6" s="6">
        <f t="shared" si="5"/>
      </c>
      <c r="T6" s="5"/>
      <c r="U6" s="9"/>
      <c r="V6" s="6"/>
      <c r="AC6">
        <f t="shared" si="6"/>
        <v>0</v>
      </c>
      <c r="AE6">
        <f t="shared" si="7"/>
        <v>1</v>
      </c>
      <c r="AG6">
        <f t="shared" si="8"/>
        <v>0</v>
      </c>
      <c r="AI6">
        <f t="shared" si="9"/>
        <v>0</v>
      </c>
    </row>
    <row r="7" spans="1:35" ht="12.75">
      <c r="A7" s="3">
        <v>5</v>
      </c>
      <c r="B7" s="14" t="str">
        <f t="shared" si="0"/>
        <v>empty</v>
      </c>
      <c r="C7" s="28">
        <v>0</v>
      </c>
      <c r="D7" s="22" t="str">
        <f>B8</f>
        <v>Garth</v>
      </c>
      <c r="E7" s="28">
        <v>31</v>
      </c>
      <c r="F7" s="218" t="str">
        <f>B10</f>
        <v>Richard</v>
      </c>
      <c r="G7" s="28">
        <v>23</v>
      </c>
      <c r="H7" s="212" t="str">
        <f>B9</f>
        <v>Tracey</v>
      </c>
      <c r="I7" s="28">
        <v>15</v>
      </c>
      <c r="L7" s="116">
        <v>0.001388888888888889</v>
      </c>
      <c r="M7">
        <f t="shared" si="1"/>
      </c>
      <c r="N7" s="3" t="s">
        <v>117</v>
      </c>
      <c r="O7" t="s">
        <v>109</v>
      </c>
      <c r="P7" s="5">
        <f t="shared" si="2"/>
        <v>0</v>
      </c>
      <c r="Q7" s="6">
        <f t="shared" si="3"/>
        <v>10</v>
      </c>
      <c r="R7" s="5">
        <f t="shared" si="4"/>
      </c>
      <c r="S7" s="6">
        <f t="shared" si="5"/>
      </c>
      <c r="T7" s="5"/>
      <c r="U7" s="9"/>
      <c r="V7" s="6"/>
      <c r="AC7">
        <f t="shared" si="6"/>
        <v>0</v>
      </c>
      <c r="AE7">
        <f t="shared" si="7"/>
        <v>1</v>
      </c>
      <c r="AG7">
        <f t="shared" si="8"/>
        <v>0</v>
      </c>
      <c r="AI7">
        <f t="shared" si="9"/>
        <v>0</v>
      </c>
    </row>
    <row r="8" spans="1:35" ht="12.75">
      <c r="A8" s="3">
        <v>6</v>
      </c>
      <c r="B8" s="14" t="str">
        <f t="shared" si="0"/>
        <v>Garth</v>
      </c>
      <c r="C8" s="28">
        <v>36</v>
      </c>
      <c r="D8" s="22" t="str">
        <f>B9</f>
        <v>Tracey</v>
      </c>
      <c r="E8" s="28">
        <v>34</v>
      </c>
      <c r="F8" s="218" t="str">
        <f>B7</f>
        <v>empty</v>
      </c>
      <c r="G8" s="28">
        <v>0</v>
      </c>
      <c r="H8" s="212" t="str">
        <f>B10</f>
        <v>Richard</v>
      </c>
      <c r="I8" s="28">
        <v>35</v>
      </c>
      <c r="L8" s="116">
        <f>L$1</f>
        <v>0.001388888888888889</v>
      </c>
      <c r="M8">
        <f t="shared" si="1"/>
        <v>140</v>
      </c>
      <c r="N8" s="3" t="s">
        <v>7</v>
      </c>
      <c r="O8" t="s">
        <v>27</v>
      </c>
      <c r="P8" s="5">
        <f t="shared" si="2"/>
        <v>140</v>
      </c>
      <c r="Q8" s="6">
        <f t="shared" si="3"/>
        <v>3</v>
      </c>
      <c r="R8" s="5">
        <f t="shared" si="4"/>
        <v>140</v>
      </c>
      <c r="S8" s="6">
        <f t="shared" si="5"/>
        <v>2</v>
      </c>
      <c r="T8" s="5"/>
      <c r="U8" s="51"/>
      <c r="V8" s="6"/>
      <c r="AC8">
        <f t="shared" si="6"/>
        <v>1</v>
      </c>
      <c r="AE8">
        <f t="shared" si="7"/>
        <v>0</v>
      </c>
      <c r="AG8">
        <f t="shared" si="8"/>
        <v>0</v>
      </c>
      <c r="AI8">
        <f t="shared" si="9"/>
        <v>0</v>
      </c>
    </row>
    <row r="9" spans="1:35" ht="12.75">
      <c r="A9" s="3">
        <v>7</v>
      </c>
      <c r="B9" s="14" t="str">
        <f t="shared" si="0"/>
        <v>Tracey</v>
      </c>
      <c r="C9" s="28">
        <v>37</v>
      </c>
      <c r="D9" s="22" t="str">
        <f>B10</f>
        <v>Richard</v>
      </c>
      <c r="E9" s="28">
        <v>36</v>
      </c>
      <c r="F9" s="218" t="str">
        <f>B8</f>
        <v>Garth</v>
      </c>
      <c r="G9" s="28">
        <v>42</v>
      </c>
      <c r="H9" s="212" t="str">
        <f>B7</f>
        <v>empty</v>
      </c>
      <c r="I9" s="28">
        <v>0</v>
      </c>
      <c r="L9" s="116">
        <f>L$1</f>
        <v>0.001388888888888889</v>
      </c>
      <c r="M9">
        <f t="shared" si="1"/>
      </c>
      <c r="N9" s="3" t="s">
        <v>8</v>
      </c>
      <c r="O9" t="s">
        <v>23</v>
      </c>
      <c r="P9" s="5">
        <f t="shared" si="2"/>
        <v>120</v>
      </c>
      <c r="Q9" s="6">
        <f t="shared" si="3"/>
        <v>7</v>
      </c>
      <c r="R9" s="5">
        <f t="shared" si="4"/>
      </c>
      <c r="S9" s="6">
        <f t="shared" si="5"/>
      </c>
      <c r="T9" s="5"/>
      <c r="U9" s="51"/>
      <c r="V9" s="6"/>
      <c r="AC9">
        <f t="shared" si="6"/>
        <v>0</v>
      </c>
      <c r="AE9">
        <f t="shared" si="7"/>
        <v>0</v>
      </c>
      <c r="AG9">
        <f t="shared" si="8"/>
        <v>1</v>
      </c>
      <c r="AI9">
        <f t="shared" si="9"/>
        <v>0</v>
      </c>
    </row>
    <row r="10" spans="1:35" ht="12.75">
      <c r="A10" s="3">
        <v>8</v>
      </c>
      <c r="B10" s="14" t="str">
        <f t="shared" si="0"/>
        <v>Richard</v>
      </c>
      <c r="C10" s="28">
        <v>32</v>
      </c>
      <c r="D10" s="22" t="str">
        <f>B7</f>
        <v>empty</v>
      </c>
      <c r="E10" s="28">
        <v>0</v>
      </c>
      <c r="F10" s="218" t="str">
        <f>B9</f>
        <v>Tracey</v>
      </c>
      <c r="G10" s="28">
        <v>34</v>
      </c>
      <c r="H10" s="212" t="str">
        <f>B8</f>
        <v>Garth</v>
      </c>
      <c r="I10" s="28">
        <v>31</v>
      </c>
      <c r="L10" s="116">
        <f>L$1</f>
        <v>0.001388888888888889</v>
      </c>
      <c r="M10">
        <f t="shared" si="1"/>
        <v>126</v>
      </c>
      <c r="N10" s="3" t="s">
        <v>7</v>
      </c>
      <c r="O10" t="s">
        <v>38</v>
      </c>
      <c r="P10" s="5">
        <f t="shared" si="2"/>
        <v>126</v>
      </c>
      <c r="Q10" s="6">
        <f t="shared" si="3"/>
        <v>6</v>
      </c>
      <c r="R10" s="5">
        <f t="shared" si="4"/>
        <v>126</v>
      </c>
      <c r="S10" s="6">
        <f t="shared" si="5"/>
        <v>4</v>
      </c>
      <c r="T10" s="5"/>
      <c r="U10" s="9"/>
      <c r="V10" s="6"/>
      <c r="AC10">
        <f t="shared" si="6"/>
        <v>0</v>
      </c>
      <c r="AE10">
        <f t="shared" si="7"/>
        <v>0</v>
      </c>
      <c r="AG10">
        <f t="shared" si="8"/>
        <v>1</v>
      </c>
      <c r="AI10">
        <f t="shared" si="9"/>
        <v>0</v>
      </c>
    </row>
    <row r="11" spans="1:35" ht="12.75">
      <c r="A11" s="2">
        <v>9</v>
      </c>
      <c r="B11" s="13" t="str">
        <f t="shared" si="0"/>
        <v>empty</v>
      </c>
      <c r="C11" s="27">
        <v>0</v>
      </c>
      <c r="D11" s="21" t="str">
        <f>B12</f>
        <v>Barry</v>
      </c>
      <c r="E11" s="27">
        <v>26</v>
      </c>
      <c r="F11" s="217" t="str">
        <f>B14</f>
        <v>Matelen</v>
      </c>
      <c r="G11" s="27">
        <v>23</v>
      </c>
      <c r="H11" s="223" t="str">
        <f>B13</f>
        <v>Kev</v>
      </c>
      <c r="I11" s="27">
        <v>21</v>
      </c>
      <c r="L11" s="116">
        <v>0.001388888888888889</v>
      </c>
      <c r="M11">
        <f t="shared" si="1"/>
      </c>
      <c r="N11" s="3" t="s">
        <v>117</v>
      </c>
      <c r="O11" t="s">
        <v>109</v>
      </c>
      <c r="P11" s="5">
        <f t="shared" si="2"/>
        <v>0</v>
      </c>
      <c r="Q11" s="6">
        <f t="shared" si="3"/>
        <v>10</v>
      </c>
      <c r="R11" s="5">
        <f t="shared" si="4"/>
      </c>
      <c r="S11" s="6">
        <f t="shared" si="5"/>
      </c>
      <c r="T11" s="5"/>
      <c r="U11" s="9"/>
      <c r="V11" s="6"/>
      <c r="AC11">
        <f t="shared" si="6"/>
        <v>0</v>
      </c>
      <c r="AE11">
        <f t="shared" si="7"/>
        <v>1</v>
      </c>
      <c r="AG11">
        <f t="shared" si="8"/>
        <v>0</v>
      </c>
      <c r="AI11">
        <f t="shared" si="9"/>
        <v>0</v>
      </c>
    </row>
    <row r="12" spans="1:35" ht="12.75">
      <c r="A12" s="3">
        <v>10</v>
      </c>
      <c r="B12" s="14" t="str">
        <f t="shared" si="0"/>
        <v>Barry</v>
      </c>
      <c r="C12" s="28">
        <v>36</v>
      </c>
      <c r="D12" s="22" t="str">
        <f>B13</f>
        <v>Kev</v>
      </c>
      <c r="E12" s="28">
        <v>37</v>
      </c>
      <c r="F12" s="218" t="str">
        <f>B11</f>
        <v>empty</v>
      </c>
      <c r="G12" s="28">
        <v>0</v>
      </c>
      <c r="H12" s="212" t="str">
        <f>B14</f>
        <v>Matelen</v>
      </c>
      <c r="I12" s="28">
        <v>33</v>
      </c>
      <c r="L12" s="116">
        <f>L$1</f>
        <v>0.001388888888888889</v>
      </c>
      <c r="M12">
        <f t="shared" si="1"/>
        <v>120</v>
      </c>
      <c r="N12" s="3" t="s">
        <v>7</v>
      </c>
      <c r="O12" t="s">
        <v>29</v>
      </c>
      <c r="P12" s="5">
        <f t="shared" si="2"/>
        <v>120</v>
      </c>
      <c r="Q12" s="6">
        <f t="shared" si="3"/>
        <v>7</v>
      </c>
      <c r="R12" s="5">
        <f t="shared" si="4"/>
        <v>120</v>
      </c>
      <c r="S12" s="6">
        <f t="shared" si="5"/>
        <v>5</v>
      </c>
      <c r="T12" s="5"/>
      <c r="U12" s="51"/>
      <c r="V12" s="6"/>
      <c r="AC12">
        <f t="shared" si="6"/>
        <v>0</v>
      </c>
      <c r="AE12">
        <f t="shared" si="7"/>
        <v>1</v>
      </c>
      <c r="AG12">
        <f t="shared" si="8"/>
        <v>0</v>
      </c>
      <c r="AI12">
        <f t="shared" si="9"/>
        <v>0</v>
      </c>
    </row>
    <row r="13" spans="1:35" ht="12.75">
      <c r="A13" s="3">
        <v>11</v>
      </c>
      <c r="B13" s="14" t="str">
        <f t="shared" si="0"/>
        <v>Kev</v>
      </c>
      <c r="C13" s="28">
        <v>32</v>
      </c>
      <c r="D13" s="22" t="str">
        <f>B14</f>
        <v>Matelen</v>
      </c>
      <c r="E13" s="28">
        <v>36</v>
      </c>
      <c r="F13" s="218" t="str">
        <f>B12</f>
        <v>Barry</v>
      </c>
      <c r="G13" s="28">
        <v>34</v>
      </c>
      <c r="H13" s="212" t="str">
        <f>B11</f>
        <v>empty</v>
      </c>
      <c r="I13" s="28">
        <v>0</v>
      </c>
      <c r="L13" s="116">
        <f>L$1</f>
        <v>0.001388888888888889</v>
      </c>
      <c r="M13">
        <f t="shared" si="1"/>
        <v>120</v>
      </c>
      <c r="N13" s="3" t="s">
        <v>7</v>
      </c>
      <c r="O13" t="s">
        <v>24</v>
      </c>
      <c r="P13" s="5">
        <f t="shared" si="2"/>
        <v>120</v>
      </c>
      <c r="Q13" s="6">
        <f t="shared" si="3"/>
        <v>7</v>
      </c>
      <c r="R13" s="5">
        <f t="shared" si="4"/>
        <v>120</v>
      </c>
      <c r="S13" s="6">
        <f t="shared" si="5"/>
        <v>5</v>
      </c>
      <c r="T13" s="5"/>
      <c r="U13" s="51"/>
      <c r="V13" s="6"/>
      <c r="AC13">
        <f t="shared" si="6"/>
        <v>0</v>
      </c>
      <c r="AE13">
        <f t="shared" si="7"/>
        <v>1</v>
      </c>
      <c r="AG13">
        <f t="shared" si="8"/>
        <v>0</v>
      </c>
      <c r="AI13">
        <f t="shared" si="9"/>
        <v>0</v>
      </c>
    </row>
    <row r="14" spans="1:35" ht="12.75">
      <c r="A14" s="10">
        <v>12</v>
      </c>
      <c r="B14" s="15" t="str">
        <f t="shared" si="0"/>
        <v>Matelen</v>
      </c>
      <c r="C14" s="29">
        <v>36</v>
      </c>
      <c r="D14" s="23" t="str">
        <f>B11</f>
        <v>empty</v>
      </c>
      <c r="E14" s="29">
        <v>0</v>
      </c>
      <c r="F14" s="219" t="str">
        <f>B13</f>
        <v>Kev</v>
      </c>
      <c r="G14" s="29">
        <v>30</v>
      </c>
      <c r="H14" s="213" t="str">
        <f>B12</f>
        <v>Barry</v>
      </c>
      <c r="I14" s="29">
        <v>24</v>
      </c>
      <c r="L14" s="116">
        <f>L$1</f>
        <v>0.001388888888888889</v>
      </c>
      <c r="M14">
        <f t="shared" si="1"/>
        <v>128</v>
      </c>
      <c r="N14" s="3" t="s">
        <v>7</v>
      </c>
      <c r="O14" t="s">
        <v>30</v>
      </c>
      <c r="P14" s="5">
        <f t="shared" si="2"/>
        <v>128</v>
      </c>
      <c r="Q14" s="6">
        <f t="shared" si="3"/>
        <v>5</v>
      </c>
      <c r="R14" s="5">
        <f t="shared" si="4"/>
        <v>128</v>
      </c>
      <c r="S14" s="6">
        <f t="shared" si="5"/>
        <v>3</v>
      </c>
      <c r="T14" s="5"/>
      <c r="U14" s="9"/>
      <c r="V14" s="6"/>
      <c r="AC14">
        <f t="shared" si="6"/>
        <v>1</v>
      </c>
      <c r="AE14">
        <f t="shared" si="7"/>
        <v>0</v>
      </c>
      <c r="AG14">
        <f t="shared" si="8"/>
        <v>0</v>
      </c>
      <c r="AI14">
        <f t="shared" si="9"/>
        <v>0</v>
      </c>
    </row>
    <row r="15" spans="1:35" ht="12.75">
      <c r="A15" s="2">
        <f>IF(AND(O15="",O16="",O17="",O18=""),"",A14+1)</f>
      </c>
      <c r="B15" s="13">
        <f t="shared" si="0"/>
      </c>
      <c r="C15" s="27"/>
      <c r="D15" s="21">
        <f>B16</f>
      </c>
      <c r="E15" s="27"/>
      <c r="F15" s="217">
        <f>B18</f>
      </c>
      <c r="G15" s="27"/>
      <c r="H15" s="223">
        <f>B17</f>
      </c>
      <c r="I15" s="27"/>
      <c r="L15" s="116">
        <v>0.001388888888888889</v>
      </c>
      <c r="M15">
        <f t="shared" si="1"/>
      </c>
      <c r="N15" s="3"/>
      <c r="P15" s="5">
        <f t="shared" si="2"/>
      </c>
      <c r="Q15" s="6">
        <f t="shared" si="3"/>
      </c>
      <c r="R15" s="5">
        <f t="shared" si="4"/>
      </c>
      <c r="S15" s="6">
        <f t="shared" si="5"/>
      </c>
      <c r="T15" s="5">
        <f>IF(O15="","",modifiedpoints(O15))</f>
      </c>
      <c r="U15" s="51">
        <f>IF($O15="","",QualifyBonusPoints(O15,N15,10)+INDEX($AC$3:$AC$22,MATCH($O15,$B$3:$B$22,0),1)+INDEX($AE$3:$AE$22,MATCH($O15,$D$3:$D$22,0),1)+INDEX($AG$3:$AG$22,MATCH($O15,$F$3:$F$22,0),1)+INDEX($AI$3:$AI$22,MATCH($O15,$H$3:$H$22,0),1))</f>
      </c>
      <c r="V15" s="6">
        <f>IF(O15="","",T15+U15)</f>
      </c>
      <c r="AC15">
        <f t="shared" si="6"/>
      </c>
      <c r="AE15">
        <f t="shared" si="7"/>
      </c>
      <c r="AG15">
        <f t="shared" si="8"/>
      </c>
      <c r="AI15">
        <f t="shared" si="9"/>
      </c>
    </row>
    <row r="16" spans="1:35" ht="12.75">
      <c r="A16" s="3">
        <f>IF(AND(O15="",O16="",O17="",O18=""),"",A15+1)</f>
      </c>
      <c r="B16" s="14">
        <f t="shared" si="0"/>
      </c>
      <c r="C16" s="28"/>
      <c r="D16" s="22">
        <f>B17</f>
      </c>
      <c r="E16" s="28"/>
      <c r="F16" s="218">
        <f>B15</f>
      </c>
      <c r="G16" s="28"/>
      <c r="H16" s="212">
        <f>B18</f>
      </c>
      <c r="I16" s="28"/>
      <c r="L16" s="116">
        <f>L$1</f>
        <v>0.001388888888888889</v>
      </c>
      <c r="M16">
        <f t="shared" si="1"/>
      </c>
      <c r="N16" s="3"/>
      <c r="P16" s="5">
        <f t="shared" si="2"/>
      </c>
      <c r="Q16" s="6">
        <f t="shared" si="3"/>
      </c>
      <c r="R16" s="5">
        <f t="shared" si="4"/>
      </c>
      <c r="S16" s="6">
        <f t="shared" si="5"/>
      </c>
      <c r="T16" s="5">
        <f>IF(O16="","",modifiedpoints(O16))</f>
      </c>
      <c r="U16" s="51">
        <f>IF($O16="","",QualifyBonusPoints(O16,N16,10)+INDEX($AC$3:$AC$22,MATCH($O16,$B$3:$B$22,0),1)+INDEX($AE$3:$AE$22,MATCH($O16,$D$3:$D$22,0),1)+INDEX($AG$3:$AG$22,MATCH($O16,$F$3:$F$22,0),1)+INDEX($AI$3:$AI$22,MATCH($O16,$H$3:$H$22,0),1))</f>
      </c>
      <c r="V16" s="6">
        <f>IF(O16="","",T16+U16)</f>
      </c>
      <c r="AC16">
        <f t="shared" si="6"/>
      </c>
      <c r="AE16">
        <f t="shared" si="7"/>
      </c>
      <c r="AG16">
        <f t="shared" si="8"/>
      </c>
      <c r="AI16">
        <f t="shared" si="9"/>
      </c>
    </row>
    <row r="17" spans="1:35" ht="12.75">
      <c r="A17" s="3">
        <f>IF(AND(O15="",O16="",O17="",O18=""),"",A16+1)</f>
      </c>
      <c r="B17" s="14">
        <f t="shared" si="0"/>
      </c>
      <c r="C17" s="28"/>
      <c r="D17" s="22">
        <f>B18</f>
      </c>
      <c r="E17" s="28"/>
      <c r="F17" s="218">
        <f>B16</f>
      </c>
      <c r="G17" s="28"/>
      <c r="H17" s="212">
        <f>B15</f>
      </c>
      <c r="I17" s="28"/>
      <c r="L17" s="116">
        <f>L$1</f>
        <v>0.001388888888888889</v>
      </c>
      <c r="M17">
        <f t="shared" si="1"/>
      </c>
      <c r="N17" s="3"/>
      <c r="P17" s="5">
        <f t="shared" si="2"/>
      </c>
      <c r="Q17" s="6">
        <f t="shared" si="3"/>
      </c>
      <c r="R17" s="5">
        <f t="shared" si="4"/>
      </c>
      <c r="S17" s="6">
        <f t="shared" si="5"/>
      </c>
      <c r="T17" s="5">
        <f>IF(O17="","",modifiedpoints(O17))</f>
      </c>
      <c r="U17" s="9">
        <f>IF($O17="","",QualifyBonusPoints(O17,N17,10)+INDEX($AC$3:$AC$22,MATCH($O17,$B$3:$B$22,0),1)+INDEX($AE$3:$AE$22,MATCH($O17,$D$3:$D$22,0),1)+INDEX($AG$3:$AG$22,MATCH($O17,$F$3:$F$22,0),1)+INDEX($AI$3:$AI$22,MATCH($O17,$H$3:$H$22,0),1))</f>
      </c>
      <c r="V17" s="6">
        <f>IF(O17="","",T17+U17)</f>
      </c>
      <c r="AC17">
        <f t="shared" si="6"/>
      </c>
      <c r="AE17">
        <f t="shared" si="7"/>
      </c>
      <c r="AG17">
        <f t="shared" si="8"/>
      </c>
      <c r="AI17">
        <f t="shared" si="9"/>
      </c>
    </row>
    <row r="18" spans="1:35" ht="12.75">
      <c r="A18" s="10">
        <f>IF(AND(O15="",O16="",O17="",O18=""),"",A17+1)</f>
      </c>
      <c r="B18" s="15">
        <f t="shared" si="0"/>
      </c>
      <c r="C18" s="29"/>
      <c r="D18" s="23">
        <f>B15</f>
      </c>
      <c r="E18" s="29"/>
      <c r="F18" s="219">
        <f>B17</f>
      </c>
      <c r="G18" s="29"/>
      <c r="H18" s="213">
        <f>B16</f>
      </c>
      <c r="I18" s="29"/>
      <c r="L18" s="116">
        <f>L$1</f>
        <v>0.001388888888888889</v>
      </c>
      <c r="M18">
        <f t="shared" si="1"/>
      </c>
      <c r="N18" s="3"/>
      <c r="P18" s="5">
        <f t="shared" si="2"/>
      </c>
      <c r="Q18" s="6">
        <f t="shared" si="3"/>
      </c>
      <c r="R18" s="5">
        <f t="shared" si="4"/>
      </c>
      <c r="S18" s="6">
        <f t="shared" si="5"/>
      </c>
      <c r="T18" s="5">
        <f>IF(O18="","",modifiedpoints(O18))</f>
      </c>
      <c r="U18" s="9">
        <f>IF($O18="","",QualifyBonusPoints(O18,N18,10)+INDEX($AC$3:$AC$22,MATCH($O18,$B$3:$B$22,0),1)+INDEX($AE$3:$AE$22,MATCH($O18,$D$3:$D$22,0),1)+INDEX($AG$3:$AG$22,MATCH($O18,$F$3:$F$22,0),1)+INDEX($AI$3:$AI$22,MATCH($O18,$H$3:$H$22,0),1))</f>
      </c>
      <c r="V18" s="6">
        <f>IF(O18="","",T18+U18)</f>
      </c>
      <c r="AC18">
        <f t="shared" si="6"/>
      </c>
      <c r="AE18">
        <f t="shared" si="7"/>
      </c>
      <c r="AG18">
        <f t="shared" si="8"/>
      </c>
      <c r="AI18">
        <f t="shared" si="9"/>
      </c>
    </row>
    <row r="19" spans="1:35" ht="12.75">
      <c r="A19" s="3">
        <f>IF(AND(O19="",O20="",O21="",O22=""),"",A18+1)</f>
      </c>
      <c r="B19" s="14">
        <f t="shared" si="0"/>
      </c>
      <c r="C19" s="28"/>
      <c r="D19" s="22">
        <f>B20</f>
      </c>
      <c r="E19" s="28"/>
      <c r="F19" s="218">
        <f>B22</f>
      </c>
      <c r="G19" s="28"/>
      <c r="H19" s="212">
        <f>B21</f>
      </c>
      <c r="I19" s="28"/>
      <c r="L19" s="116">
        <v>0.001388888888888889</v>
      </c>
      <c r="M19">
        <f t="shared" si="1"/>
      </c>
      <c r="N19" s="3"/>
      <c r="P19" s="5">
        <f t="shared" si="2"/>
      </c>
      <c r="Q19" s="6">
        <f t="shared" si="3"/>
      </c>
      <c r="R19" s="5">
        <f t="shared" si="4"/>
      </c>
      <c r="S19" s="6">
        <f t="shared" si="5"/>
      </c>
      <c r="T19" s="5">
        <f>IF(O19="","",modifiedpoints(O19))</f>
      </c>
      <c r="U19" s="9">
        <f>IF($O19="","",QualifyBonusPoints(O19,N19,10)+INDEX($AC$3:$AC$22,MATCH($O19,$B$3:$B$22,0),1)+INDEX($AE$3:$AE$22,MATCH($O19,$D$3:$D$22,0),1)+INDEX($AG$3:$AG$22,MATCH($O19,$F$3:$F$22,0),1)+INDEX($AI$3:$AI$22,MATCH($O19,$H$3:$H$22,0),1))</f>
      </c>
      <c r="V19" s="6">
        <f>IF(O19="","",T19+U19)</f>
      </c>
      <c r="AC19">
        <f t="shared" si="6"/>
      </c>
      <c r="AE19">
        <f t="shared" si="7"/>
      </c>
      <c r="AG19">
        <f t="shared" si="8"/>
      </c>
      <c r="AI19">
        <f t="shared" si="9"/>
      </c>
    </row>
    <row r="20" spans="1:35" ht="12.75">
      <c r="A20" s="3">
        <f>IF(AND(O19="",O20="",O21="",O22=""),"",A19+1)</f>
      </c>
      <c r="B20" s="14">
        <f t="shared" si="0"/>
      </c>
      <c r="C20" s="28"/>
      <c r="D20" s="22">
        <f>B21</f>
      </c>
      <c r="E20" s="28"/>
      <c r="F20" s="218">
        <f>B19</f>
      </c>
      <c r="G20" s="28"/>
      <c r="H20" s="212">
        <f>B22</f>
      </c>
      <c r="I20" s="28"/>
      <c r="L20" s="116">
        <f>L$1</f>
        <v>0.001388888888888889</v>
      </c>
      <c r="M20">
        <f t="shared" si="1"/>
      </c>
      <c r="N20" s="3"/>
      <c r="P20" s="5">
        <f t="shared" si="2"/>
      </c>
      <c r="Q20" s="6">
        <f t="shared" si="3"/>
      </c>
      <c r="R20" s="5">
        <f t="shared" si="4"/>
      </c>
      <c r="S20" s="6">
        <f t="shared" si="5"/>
      </c>
      <c r="T20" s="5">
        <f>IF(O20="","",modifiedpoints(O20))</f>
      </c>
      <c r="U20" s="51">
        <f>IF($O20="","",QualifyBonusPoints(O20,N20,10)+INDEX($AC$3:$AC$22,MATCH($O20,$B$3:$B$22,0),1)+INDEX($AE$3:$AE$22,MATCH($O20,$D$3:$D$22,0),1)+INDEX($AG$3:$AG$22,MATCH($O20,$F$3:$F$22,0),1)+INDEX($AI$3:$AI$22,MATCH($O20,$H$3:$H$22,0),1))</f>
      </c>
      <c r="V20" s="6">
        <f>IF(O20="","",T20+U20)</f>
      </c>
      <c r="AC20">
        <f t="shared" si="6"/>
      </c>
      <c r="AE20">
        <f t="shared" si="7"/>
      </c>
      <c r="AG20">
        <f t="shared" si="8"/>
      </c>
      <c r="AI20">
        <f t="shared" si="9"/>
      </c>
    </row>
    <row r="21" spans="1:35" ht="12.75">
      <c r="A21" s="3">
        <f>IF(AND(O19="",O20="",O21="",O22=""),"",A20+1)</f>
      </c>
      <c r="B21" s="14">
        <f t="shared" si="0"/>
      </c>
      <c r="C21" s="28"/>
      <c r="D21" s="22">
        <f>B22</f>
      </c>
      <c r="E21" s="28"/>
      <c r="F21" s="218">
        <f>B20</f>
      </c>
      <c r="G21" s="28"/>
      <c r="H21" s="212">
        <f>B19</f>
      </c>
      <c r="I21" s="28"/>
      <c r="L21" s="116">
        <f>L$1</f>
        <v>0.001388888888888889</v>
      </c>
      <c r="M21">
        <f t="shared" si="1"/>
      </c>
      <c r="N21" s="3"/>
      <c r="P21" s="5">
        <f t="shared" si="2"/>
      </c>
      <c r="Q21" s="6">
        <f t="shared" si="3"/>
      </c>
      <c r="R21" s="5">
        <f t="shared" si="4"/>
      </c>
      <c r="S21" s="6">
        <f t="shared" si="5"/>
      </c>
      <c r="T21" s="5">
        <f>IF(O21="","",modifiedpoints(O21))</f>
      </c>
      <c r="U21" s="9">
        <f>IF($O21="","",QualifyBonusPoints(O21,N21,10)+INDEX($AC$3:$AC$22,MATCH($O21,$B$3:$B$22,0),1)+INDEX($AE$3:$AE$22,MATCH($O21,$D$3:$D$22,0),1)+INDEX($AG$3:$AG$22,MATCH($O21,$F$3:$F$22,0),1)+INDEX($AI$3:$AI$22,MATCH($O21,$H$3:$H$22,0),1))</f>
      </c>
      <c r="V21" s="6">
        <f>IF(O21="","",T21+U21)</f>
      </c>
      <c r="AC21">
        <f t="shared" si="6"/>
      </c>
      <c r="AE21">
        <f t="shared" si="7"/>
      </c>
      <c r="AG21">
        <f t="shared" si="8"/>
      </c>
      <c r="AI21">
        <f t="shared" si="9"/>
      </c>
    </row>
    <row r="22" spans="1:35" ht="12.75">
      <c r="A22" s="10">
        <f>IF(AND(O19="",O20="",O21="",O22=""),"",A21+1)</f>
      </c>
      <c r="B22" s="15">
        <f t="shared" si="0"/>
      </c>
      <c r="C22" s="29"/>
      <c r="D22" s="23">
        <f>B19</f>
      </c>
      <c r="E22" s="29"/>
      <c r="F22" s="219">
        <f>B21</f>
      </c>
      <c r="G22" s="29"/>
      <c r="H22" s="213">
        <f>B20</f>
      </c>
      <c r="I22" s="29"/>
      <c r="L22" s="116">
        <f>L$1</f>
        <v>0.001388888888888889</v>
      </c>
      <c r="M22">
        <f t="shared" si="1"/>
      </c>
      <c r="N22" s="10"/>
      <c r="O22" s="10"/>
      <c r="P22" s="7">
        <f t="shared" si="2"/>
      </c>
      <c r="Q22" s="8">
        <f t="shared" si="3"/>
      </c>
      <c r="R22" s="7">
        <f t="shared" si="4"/>
      </c>
      <c r="S22" s="8">
        <f t="shared" si="5"/>
      </c>
      <c r="T22" s="7">
        <f>IF(O22="","",modifiedpoints(O22))</f>
      </c>
      <c r="U22" s="32">
        <f>IF($O22="","",QualifyBonusPoints(O22,N22,10)+INDEX($AC$3:$AC$22,MATCH($O22,$B$3:$B$22,0),1)+INDEX($AE$3:$AE$22,MATCH($O22,$D$3:$D$22,0),1)+INDEX($AG$3:$AG$22,MATCH($O22,$F$3:$F$22,0),1)+INDEX($AI$3:$AI$22,MATCH($O22,$H$3:$H$22,0),1))</f>
      </c>
      <c r="V22" s="8">
        <f>IF(O22="","",T22+U22)</f>
      </c>
      <c r="AC22">
        <f t="shared" si="6"/>
      </c>
      <c r="AE22">
        <f t="shared" si="7"/>
      </c>
      <c r="AG22">
        <f t="shared" si="8"/>
      </c>
      <c r="AI22">
        <f t="shared" si="9"/>
      </c>
    </row>
    <row r="23" spans="1:8" ht="12.75">
      <c r="A23" t="s">
        <v>19</v>
      </c>
      <c r="D23" s="215"/>
      <c r="F23" s="220"/>
      <c r="H23" s="224"/>
    </row>
    <row r="24" spans="1:22" ht="12.75">
      <c r="A24" s="2"/>
      <c r="B24" s="13" t="str">
        <f>IF(O24="","",O24)</f>
        <v>John</v>
      </c>
      <c r="C24" s="27"/>
      <c r="D24" s="21" t="str">
        <f>B25</f>
        <v>Garth</v>
      </c>
      <c r="E24" s="27"/>
      <c r="F24" s="217" t="str">
        <f>B27</f>
        <v>Richard</v>
      </c>
      <c r="G24" s="27"/>
      <c r="H24" s="223" t="str">
        <f>B26</f>
        <v>Matelen</v>
      </c>
      <c r="I24" s="27"/>
      <c r="J24" s="30"/>
      <c r="K24" s="30"/>
      <c r="L24" s="116" t="s">
        <v>99</v>
      </c>
      <c r="M24" s="30"/>
      <c r="N24" s="2" t="s">
        <v>7</v>
      </c>
      <c r="O24" s="2" t="str">
        <f>IF(SUM($R$3:$R$22)=0,"Con Fnl 1",INDEX($O$3:$O$22,MATCH(1,$S$3:$S$22,0),1))</f>
        <v>John</v>
      </c>
      <c r="P24" s="4">
        <f>IF($O24&lt;&gt;"Con Fnl 1",IF(OR(P$23="",P$23=$N24),0+INDEX($C$24:$C$27,MATCH($O24,$B$24:$B$27,0),1)+INDEX($E$24:$E$27,MATCH($O24,$D$24:$D$27,0),1)+INDEX($G$24:$G$27,MATCH($O24,$F$24:$F$27,0),1)+INDEX($I$24:$I$27,MATCH($O24,$H$24:$H$27,0),1),""),"")</f>
        <v>0</v>
      </c>
      <c r="Q24" s="30">
        <f>IF(ISNUMBER(P24),RANK(P24,P$24:P$27,0),"")</f>
        <v>1</v>
      </c>
      <c r="R24" s="5"/>
      <c r="S24" s="9"/>
      <c r="T24" s="9"/>
      <c r="U24" s="9"/>
      <c r="V24" s="9"/>
    </row>
    <row r="25" spans="1:22" ht="12.75">
      <c r="A25" s="3"/>
      <c r="B25" s="14" t="str">
        <f>IF(O25="","",O25)</f>
        <v>Garth</v>
      </c>
      <c r="C25" s="28"/>
      <c r="D25" s="22" t="str">
        <f>B26</f>
        <v>Matelen</v>
      </c>
      <c r="E25" s="28"/>
      <c r="F25" s="218" t="str">
        <f>B24</f>
        <v>John</v>
      </c>
      <c r="G25" s="28"/>
      <c r="H25" s="212" t="str">
        <f>B27</f>
        <v>Richard</v>
      </c>
      <c r="I25" s="28"/>
      <c r="J25" s="9"/>
      <c r="K25" s="9"/>
      <c r="L25" s="116">
        <v>0.0004629629629629629</v>
      </c>
      <c r="M25" s="9"/>
      <c r="N25" s="3" t="s">
        <v>7</v>
      </c>
      <c r="O25" s="3" t="str">
        <f>IF(SUM($R$3:$R$22)=0,"Con Fnl 2",INDEX($O$3:$O$22,MATCH(2,$S$3:$S$22,0),1))</f>
        <v>Garth</v>
      </c>
      <c r="P25" s="5">
        <f>IF($O25&lt;&gt;"Con Fnl 2",IF(OR(P$23="",P$23=$N25),0+INDEX($C$24:$C$27,MATCH($O25,$B$24:$B$27,0),1)+INDEX($E$24:$E$27,MATCH($O25,$D$24:$D$27,0),1)+INDEX($G$24:$G$27,MATCH($O25,$F$24:$F$27,0),1)+INDEX($I$24:$I$27,MATCH($O25,$H$24:$H$27,0),1),""),"")</f>
        <v>0</v>
      </c>
      <c r="Q25" s="9">
        <f>IF(ISNUMBER(P25),RANK(P25,P$24:P$27,0),"")</f>
        <v>1</v>
      </c>
      <c r="R25" s="5"/>
      <c r="S25" s="9"/>
      <c r="T25" s="9"/>
      <c r="U25" s="9"/>
      <c r="V25" s="9"/>
    </row>
    <row r="26" spans="1:22" ht="12.75">
      <c r="A26" s="3"/>
      <c r="B26" s="14" t="str">
        <f>IF(O26="","",O26)</f>
        <v>Matelen</v>
      </c>
      <c r="C26" s="28"/>
      <c r="D26" s="22" t="str">
        <f>B27</f>
        <v>Richard</v>
      </c>
      <c r="E26" s="28"/>
      <c r="F26" s="218" t="str">
        <f>B25</f>
        <v>Garth</v>
      </c>
      <c r="G26" s="28"/>
      <c r="H26" s="212" t="str">
        <f>B24</f>
        <v>John</v>
      </c>
      <c r="I26" s="28"/>
      <c r="J26" s="9"/>
      <c r="K26" s="9"/>
      <c r="L26" s="116">
        <v>0.0004629629629629629</v>
      </c>
      <c r="M26" s="9"/>
      <c r="N26" s="3" t="s">
        <v>7</v>
      </c>
      <c r="O26" s="3" t="str">
        <f>IF(SUM($R$3:$R$22)=0,"Con Fnl 3",INDEX($O$3:$O$22,MATCH(3,$S$3:$S$22,0),1))</f>
        <v>Matelen</v>
      </c>
      <c r="P26" s="5">
        <f>IF($O26&lt;&gt;"Con Fnl 3",IF(OR(P$23="",P$23=$N26),0+INDEX($C$24:$C$27,MATCH($O26,$B$24:$B$27,0),1)+INDEX($E$24:$E$27,MATCH($O26,$D$24:$D$27,0),1)+INDEX($G$24:$G$27,MATCH($O26,$F$24:$F$27,0),1)+INDEX($I$24:$I$27,MATCH($O26,$H$24:$H$27,0),1),""),"")</f>
        <v>0</v>
      </c>
      <c r="Q26" s="9">
        <f>IF(ISNUMBER(P26),RANK(P26,P$24:P$27,0),"")</f>
        <v>1</v>
      </c>
      <c r="R26" s="5"/>
      <c r="S26" s="9"/>
      <c r="T26" s="9"/>
      <c r="U26" s="9"/>
      <c r="V26" s="9"/>
    </row>
    <row r="27" spans="1:22" ht="12.75">
      <c r="A27" s="10"/>
      <c r="B27" s="15" t="str">
        <f>IF(O27="","",O27)</f>
        <v>Richard</v>
      </c>
      <c r="C27" s="29"/>
      <c r="D27" s="23" t="str">
        <f>B24</f>
        <v>John</v>
      </c>
      <c r="E27" s="29"/>
      <c r="F27" s="219" t="str">
        <f>B26</f>
        <v>Matelen</v>
      </c>
      <c r="G27" s="29"/>
      <c r="H27" s="213" t="str">
        <f>B25</f>
        <v>Garth</v>
      </c>
      <c r="I27" s="29"/>
      <c r="J27" s="32"/>
      <c r="K27" s="32"/>
      <c r="L27" s="116">
        <v>0.0004629629629629629</v>
      </c>
      <c r="M27" s="32"/>
      <c r="N27" s="10" t="s">
        <v>7</v>
      </c>
      <c r="O27" s="10" t="str">
        <f>IF(SUM($R$3:$R$22)=0,"Con Fnl 4",INDEX($O$3:$O$22,MATCH(4,$S$3:$S$22,0),1))</f>
        <v>Richard</v>
      </c>
      <c r="P27" s="7">
        <f>IF($O27&lt;&gt;"Con Fnl 4",IF(OR(P$23="",P$23=$N27),0+INDEX($C$24:$C$27,MATCH($O27,$B$24:$B$27,0),1)+INDEX($E$24:$E$27,MATCH($O27,$D$24:$D$27,0),1)+INDEX($G$24:$G$27,MATCH($O27,$F$24:$F$27,0),1)+INDEX($I$24:$I$27,MATCH($O27,$H$24:$H$27,0),1),""),"")</f>
        <v>0</v>
      </c>
      <c r="Q27" s="32">
        <f>IF(ISNUMBER(P27),RANK(P27,P$24:P$27,0),"")</f>
        <v>1</v>
      </c>
      <c r="R27" s="5"/>
      <c r="S27" s="9"/>
      <c r="T27" s="9"/>
      <c r="U27" s="9"/>
      <c r="V27" s="9"/>
    </row>
    <row r="28" spans="1:22" ht="12.75">
      <c r="A28" s="9" t="s">
        <v>20</v>
      </c>
      <c r="B28" s="9"/>
      <c r="C28" s="9"/>
      <c r="D28" s="216"/>
      <c r="E28" s="9"/>
      <c r="F28" s="221"/>
      <c r="H28" s="224"/>
      <c r="R28" s="9"/>
      <c r="S28" s="9"/>
      <c r="T28" s="9"/>
      <c r="U28" s="9"/>
      <c r="V28" s="9"/>
    </row>
    <row r="29" spans="1:22" ht="12.75">
      <c r="A29" s="2"/>
      <c r="B29" s="13" t="str">
        <f>IF(O29="","",O29)</f>
        <v>Karl</v>
      </c>
      <c r="C29" s="27"/>
      <c r="D29" s="21" t="str">
        <f>B30</f>
        <v>John</v>
      </c>
      <c r="E29" s="27"/>
      <c r="F29" s="217" t="str">
        <f>B32</f>
        <v>Geoff</v>
      </c>
      <c r="G29" s="27"/>
      <c r="H29" s="223" t="str">
        <f>B31</f>
        <v>Garth</v>
      </c>
      <c r="I29" s="27"/>
      <c r="J29" s="30"/>
      <c r="K29" s="30"/>
      <c r="L29" s="116" t="s">
        <v>99</v>
      </c>
      <c r="M29" s="30"/>
      <c r="N29" s="2" t="s">
        <v>8</v>
      </c>
      <c r="O29" s="2" t="str">
        <f>IF(SUM($P$3:$P$22)=0,"Spd Fnl 1",INDEX($O$3:$O$22,MATCH(1,$Q$3:$Q$22,0),1))</f>
        <v>Karl</v>
      </c>
      <c r="P29" s="4">
        <f>IF($O29&lt;&gt;"Spd Fnl 1",IF(OR(P$28="",P$28=$N29),0+INDEX($C$29:$C$32,MATCH($O29,$B$29:$B$32,0),1)+INDEX($E$29:$E$32,MATCH($O29,$D$29:$D$32,0),1)+INDEX($G$29:$G$32,MATCH($O29,$F$29:$F$32,0),1)+INDEX($I$29:$I$32,MATCH($O29,$H$29:$H$32,0),1),""),"")</f>
        <v>0</v>
      </c>
      <c r="Q29" s="30">
        <f>IF(ISNUMBER(P29),RANK(P29,P$29:P$32,0),"")</f>
        <v>1</v>
      </c>
      <c r="R29" s="5"/>
      <c r="S29" s="9"/>
      <c r="T29" s="9"/>
      <c r="U29" s="9"/>
      <c r="V29" s="9"/>
    </row>
    <row r="30" spans="1:22" ht="12.75">
      <c r="A30" s="3"/>
      <c r="B30" s="14" t="str">
        <f>IF(O30="","",O30)</f>
        <v>John</v>
      </c>
      <c r="C30" s="28"/>
      <c r="D30" s="22" t="str">
        <f>B31</f>
        <v>Garth</v>
      </c>
      <c r="E30" s="28"/>
      <c r="F30" s="218" t="str">
        <f>B29</f>
        <v>Karl</v>
      </c>
      <c r="G30" s="28"/>
      <c r="H30" s="212" t="str">
        <f>B32</f>
        <v>Geoff</v>
      </c>
      <c r="I30" s="28"/>
      <c r="J30" s="9"/>
      <c r="K30" s="9"/>
      <c r="L30" s="116">
        <v>0.0004629629629629629</v>
      </c>
      <c r="M30" s="9"/>
      <c r="N30" s="3" t="s">
        <v>8</v>
      </c>
      <c r="O30" s="3" t="str">
        <f>IF(SUM($P$3:$P$22)=0,"Spd Fnl 2",INDEX($O$3:$O$22,MATCH(2,$Q$3:$Q$22,0),1))</f>
        <v>John</v>
      </c>
      <c r="P30" s="5">
        <f>IF($O30&lt;&gt;"Spd Fnl 2",IF(OR(P$28="",P$28=$N30),0+INDEX($C$29:$C$32,MATCH($O30,$B$29:$B$32,0),1)+INDEX($E$29:$E$32,MATCH($O30,$D$29:$D$32,0),1)+INDEX($G$29:$G$32,MATCH($O30,$F$29:$F$32,0),1)+INDEX($I$29:$I$32,MATCH($O30,$H$29:$H$32,0),1),""),"")</f>
        <v>0</v>
      </c>
      <c r="Q30" s="9">
        <f>IF(ISNUMBER(P30),RANK(P30,P$29:P$32,0),"")</f>
        <v>1</v>
      </c>
      <c r="R30" s="5"/>
      <c r="S30" s="9"/>
      <c r="T30" s="9"/>
      <c r="U30" s="9"/>
      <c r="V30" s="9"/>
    </row>
    <row r="31" spans="1:22" ht="12.75">
      <c r="A31" s="3"/>
      <c r="B31" s="14" t="str">
        <f>IF(O31="","",O31)</f>
        <v>Garth</v>
      </c>
      <c r="C31" s="28"/>
      <c r="D31" s="22" t="str">
        <f>B32</f>
        <v>Geoff</v>
      </c>
      <c r="E31" s="28"/>
      <c r="F31" s="218" t="str">
        <f>B30</f>
        <v>John</v>
      </c>
      <c r="G31" s="28"/>
      <c r="H31" s="212" t="str">
        <f>B29</f>
        <v>Karl</v>
      </c>
      <c r="I31" s="28"/>
      <c r="J31" s="9"/>
      <c r="K31" s="9"/>
      <c r="L31" s="116">
        <v>0.0004629629629629629</v>
      </c>
      <c r="M31" s="9"/>
      <c r="N31" s="3" t="s">
        <v>8</v>
      </c>
      <c r="O31" s="3" t="str">
        <f>IF(SUM($P$3:$P$22)=0,"Spd Fnl 3",INDEX($O$3:$O$22,MATCH(3,$Q$3:$Q$22,0),1))</f>
        <v>Garth</v>
      </c>
      <c r="P31" s="5">
        <f>IF($O31&lt;&gt;"Spd Fnl 3",IF(OR(P$28="",P$28=$N31),0+INDEX($C$29:$C$32,MATCH($O31,$B$29:$B$32,0),1)+INDEX($E$29:$E$32,MATCH($O31,$D$29:$D$32,0),1)+INDEX($G$29:$G$32,MATCH($O31,$F$29:$F$32,0),1)+INDEX($I$29:$I$32,MATCH($O31,$H$29:$H$32,0),1),""),"")</f>
        <v>0</v>
      </c>
      <c r="Q31" s="9">
        <f>IF(ISNUMBER(P31),RANK(P31,P$29:P$32,0),"")</f>
        <v>1</v>
      </c>
      <c r="R31" s="5"/>
      <c r="S31" s="9"/>
      <c r="T31" s="9"/>
      <c r="U31" s="9"/>
      <c r="V31" s="9"/>
    </row>
    <row r="32" spans="1:22" ht="12.75">
      <c r="A32" s="10"/>
      <c r="B32" s="15" t="str">
        <f>IF(O32="","",O32)</f>
        <v>Geoff</v>
      </c>
      <c r="C32" s="29"/>
      <c r="D32" s="23" t="str">
        <f>B29</f>
        <v>Karl</v>
      </c>
      <c r="E32" s="29"/>
      <c r="F32" s="219" t="str">
        <f>B31</f>
        <v>Garth</v>
      </c>
      <c r="G32" s="29"/>
      <c r="H32" s="213" t="str">
        <f>B30</f>
        <v>John</v>
      </c>
      <c r="I32" s="29"/>
      <c r="J32" s="32"/>
      <c r="K32" s="32"/>
      <c r="L32" s="116">
        <v>0.0004629629629629629</v>
      </c>
      <c r="M32" s="32"/>
      <c r="N32" s="10" t="s">
        <v>8</v>
      </c>
      <c r="O32" s="10" t="str">
        <f>IF(SUM($P$3:$P$22)=0,"Spd Fnl 4",INDEX($O$3:$O$22,MATCH(4,$Q$3:$Q$22,0),1))</f>
        <v>Geoff</v>
      </c>
      <c r="P32" s="7">
        <f>IF($O32&lt;&gt;"Spd Fnl 4",IF(OR(P$28="",P$28=$N32),0+INDEX($C$29:$C$32,MATCH($O32,$B$29:$B$32,0),1)+INDEX($E$29:$E$32,MATCH($O32,$D$29:$D$32,0),1)+INDEX($G$29:$G$32,MATCH($O32,$F$29:$F$32,0),1)+INDEX($I$29:$I$32,MATCH($O32,$H$29:$H$32,0),1),""),"")</f>
        <v>0</v>
      </c>
      <c r="Q32" s="32">
        <f>IF(ISNUMBER(P32),RANK(P32,P$29:P$32,0),"")</f>
        <v>1</v>
      </c>
      <c r="R32" s="5"/>
      <c r="S32" s="9"/>
      <c r="T32" s="9"/>
      <c r="U32" s="9"/>
      <c r="V32" s="9"/>
    </row>
  </sheetData>
  <sheetProtection selectLockedCells="1"/>
  <mergeCells count="7">
    <mergeCell ref="B1:C1"/>
    <mergeCell ref="D1:E1"/>
    <mergeCell ref="F1:G1"/>
    <mergeCell ref="T1:V1"/>
    <mergeCell ref="H1:I1"/>
    <mergeCell ref="P1:Q1"/>
    <mergeCell ref="R1:S1"/>
  </mergeCells>
  <printOptions/>
  <pageMargins left="0.75" right="0.75" top="1" bottom="1" header="0.5" footer="0.5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FFFF"/>
  </sheetPr>
  <dimension ref="A1:AI30"/>
  <sheetViews>
    <sheetView tabSelected="1" zoomScalePageLayoutView="0" workbookViewId="0" topLeftCell="B1">
      <selection activeCell="O3" sqref="O3:O8"/>
    </sheetView>
  </sheetViews>
  <sheetFormatPr defaultColWidth="9.140625" defaultRowHeight="12.75"/>
  <cols>
    <col min="10" max="13" width="9.140625" style="0" hidden="1" customWidth="1"/>
    <col min="14" max="14" width="9.140625" style="9" customWidth="1"/>
  </cols>
  <sheetData>
    <row r="1" spans="1:22" ht="12.75">
      <c r="A1" s="1"/>
      <c r="B1" s="145" t="s">
        <v>89</v>
      </c>
      <c r="C1" s="50"/>
      <c r="D1" s="146" t="s">
        <v>90</v>
      </c>
      <c r="E1" s="48">
        <f>CEILING(O1*3/4,1)</f>
        <v>0</v>
      </c>
      <c r="F1" s="147" t="s">
        <v>91</v>
      </c>
      <c r="G1" s="47">
        <f>CEILING(O1/4,1)</f>
        <v>0</v>
      </c>
      <c r="H1" s="148" t="s">
        <v>92</v>
      </c>
      <c r="I1" s="49">
        <v>1</v>
      </c>
      <c r="J1" s="37"/>
      <c r="K1" s="1"/>
      <c r="L1" s="141">
        <v>0.001388888888888889</v>
      </c>
      <c r="M1" s="44"/>
      <c r="O1" s="1">
        <f>COUNTA(O3:O22)</f>
        <v>0</v>
      </c>
      <c r="P1" s="195"/>
      <c r="Q1" s="192"/>
      <c r="R1" s="200"/>
      <c r="S1" s="201"/>
      <c r="T1" s="193" t="s">
        <v>11</v>
      </c>
      <c r="U1" s="193"/>
      <c r="V1" s="194"/>
    </row>
    <row r="2" spans="1:22" ht="12.75">
      <c r="A2" s="1" t="s">
        <v>0</v>
      </c>
      <c r="B2" s="12" t="s">
        <v>1</v>
      </c>
      <c r="C2" s="12" t="s">
        <v>2</v>
      </c>
      <c r="D2" s="16" t="s">
        <v>1</v>
      </c>
      <c r="E2" s="16" t="s">
        <v>2</v>
      </c>
      <c r="F2" s="24" t="s">
        <v>1</v>
      </c>
      <c r="G2" s="34" t="s">
        <v>2</v>
      </c>
      <c r="H2" s="42" t="s">
        <v>1</v>
      </c>
      <c r="I2" s="43" t="s">
        <v>2</v>
      </c>
      <c r="J2" s="37"/>
      <c r="K2" s="1"/>
      <c r="L2" s="1"/>
      <c r="M2" s="44"/>
      <c r="O2" s="1" t="s">
        <v>1</v>
      </c>
      <c r="P2" s="1" t="s">
        <v>2</v>
      </c>
      <c r="Q2" s="44" t="s">
        <v>6</v>
      </c>
      <c r="R2" s="5"/>
      <c r="S2" s="46"/>
      <c r="T2" s="46" t="s">
        <v>12</v>
      </c>
      <c r="U2" s="46" t="s">
        <v>13</v>
      </c>
      <c r="V2" s="46" t="s">
        <v>14</v>
      </c>
    </row>
    <row r="3" spans="1:35" ht="12.75">
      <c r="A3" s="2">
        <f>IF(B3="","",1)</f>
      </c>
      <c r="B3" s="13">
        <f aca="true" t="shared" si="0" ref="B3:B22">IF(O3="","",O3)</f>
      </c>
      <c r="C3" s="35"/>
      <c r="D3" s="17">
        <f aca="true" ca="1" t="shared" si="1" ref="D3:D22">IF($A3="","",IF($A3&gt;E$1,INDIRECT("B"&amp;$A3-E$1+2,TRUE),INDIRECT("B"&amp;$O$1-E$1+$A3+2,TRUE)))</f>
      </c>
      <c r="E3" s="27"/>
      <c r="F3" s="39">
        <f ca="1">IF($A3="","",IF($A3&gt;G$1,INDIRECT("B"&amp;$A3-G$1+2,TRUE),INDIRECT("B"&amp;$O$1-G$1+$A3+2,TRUE)))</f>
      </c>
      <c r="G3" s="35"/>
      <c r="H3" s="22">
        <f aca="true" ca="1" t="shared" si="2" ref="H3:H22">IF($A3="","",IF($A3&gt;I$1,INDIRECT("B"&amp;$A3-I$1+2,TRUE),INDIRECT("B"&amp;$O$1-I$1+$A3+2,TRUE)))</f>
      </c>
      <c r="I3" s="28"/>
      <c r="L3" s="116">
        <f>L$1</f>
        <v>0.001388888888888889</v>
      </c>
      <c r="M3">
        <f>IF(O3="","",P3)</f>
      </c>
      <c r="O3" s="2"/>
      <c r="P3" s="4">
        <f aca="true" t="shared" si="3" ref="P3:P22">IF($O3&gt;" ",IF(OR(P$1="",P$1=$N3),0+INDEX($C$3:$C$22,MATCH($O3,$B$3:$B$22,0),1)+INDEX($E$3:$E$22,MATCH($O3,$D$3:$D$22,0),1)+INDEX($G$3:$G$22,MATCH($O3,$F$3:$F$22,0),1)+INDEX($I$3:$I$22,MATCH($O3,$H$3:$H$22,0),1),""),"")</f>
      </c>
      <c r="Q3" s="30">
        <f aca="true" t="shared" si="4" ref="Q3:Q22">IF(ISNUMBER(P3),RANK(P3,P$3:P$22,0),"")</f>
      </c>
      <c r="R3" s="5"/>
      <c r="S3" s="6"/>
      <c r="T3" s="30">
        <f aca="true" t="shared" si="5" ref="T3:T22">IF(O3="","",IF(Q3=1,20,IF(Q3=2,17,18-Q3)))</f>
      </c>
      <c r="U3" s="30">
        <f>IF($O3="","",0+INDEX($AC$3:$AC$22,MATCH($O3,$B$3:$B$22,0),1)+INDEX($AE$3:$AE$22,MATCH($O3,$D$3:$D$22,0),1)+INDEX($AG$3:$AG$22,MATCH($O3,$F$3:$F$22,0),1)+INDEX($AI$3:$AI$22,MATCH($O3,$H$3:$H$22,0),1))</f>
      </c>
      <c r="V3" s="11">
        <f>IF(O3="","",T3+U3)</f>
      </c>
      <c r="AC3">
        <f>IF(B3="","",IF(RANK(C3,$B3:$I3)=1,1,0))</f>
      </c>
      <c r="AE3">
        <f>IF(D3="","",IF(RANK(E3,$B3:$I3)=1,1,0))</f>
      </c>
      <c r="AG3">
        <f>IF(F3="","",IF(RANK(G3,$B3:$I3)=1,1,0))</f>
      </c>
      <c r="AI3">
        <f>IF(H3="","",IF(RANK(I3,$B3:$I3)=1,1,0))</f>
      </c>
    </row>
    <row r="4" spans="1:35" ht="12.75">
      <c r="A4" s="3">
        <f aca="true" t="shared" si="6" ref="A4:A22">IF(B4="","",A3+1)</f>
      </c>
      <c r="B4" s="14">
        <f t="shared" si="0"/>
      </c>
      <c r="C4" s="33"/>
      <c r="D4" s="18">
        <f ca="1" t="shared" si="1"/>
      </c>
      <c r="E4" s="28"/>
      <c r="F4" s="40">
        <f aca="true" ca="1" t="shared" si="7" ref="F4:F22">IF($A4="","",IF($A4&gt;G$1,INDIRECT("B"&amp;$A4-G$1+2,TRUE),INDIRECT("B"&amp;$O$1-G$1+$A4+2,TRUE)))</f>
      </c>
      <c r="G4" s="33"/>
      <c r="H4" s="22">
        <f ca="1" t="shared" si="2"/>
      </c>
      <c r="I4" s="28"/>
      <c r="L4" s="116">
        <f aca="true" t="shared" si="8" ref="L4:L22">L$1</f>
        <v>0.001388888888888889</v>
      </c>
      <c r="M4">
        <f aca="true" t="shared" si="9" ref="M4:M22">IF(O4="","",P4)</f>
      </c>
      <c r="O4" s="3"/>
      <c r="P4" s="5">
        <f t="shared" si="3"/>
      </c>
      <c r="Q4" s="9">
        <f t="shared" si="4"/>
      </c>
      <c r="R4" s="5"/>
      <c r="S4" s="6"/>
      <c r="T4" s="9">
        <f t="shared" si="5"/>
      </c>
      <c r="U4" s="9">
        <f aca="true" t="shared" si="10" ref="U4:U22">IF($O4="","",0+INDEX($AC$3:$AC$22,MATCH($O4,$B$3:$B$22,0),1)+INDEX($AE$3:$AE$22,MATCH($O4,$D$3:$D$22,0),1)+INDEX($AG$3:$AG$22,MATCH($O4,$F$3:$F$22,0),1)+INDEX($AI$3:$AI$22,MATCH($O4,$H$3:$H$22,0),1))</f>
      </c>
      <c r="V4" s="6">
        <f aca="true" t="shared" si="11" ref="V4:V22">IF(O4="","",T4+U4)</f>
      </c>
      <c r="AC4">
        <f aca="true" t="shared" si="12" ref="AC4:AC22">IF(B4="","",IF(RANK(C4,$B4:$I4)=1,1,0))</f>
      </c>
      <c r="AE4">
        <f aca="true" t="shared" si="13" ref="AE4:AE22">IF(D4="","",IF(RANK(E4,$B4:$I4)=1,1,0))</f>
      </c>
      <c r="AG4">
        <f aca="true" t="shared" si="14" ref="AG4:AG22">IF(F4="","",IF(RANK(G4,$B4:$I4)=1,1,0))</f>
      </c>
      <c r="AI4">
        <f aca="true" t="shared" si="15" ref="AI4:AI22">IF(H4="","",IF(RANK(I4,$B4:$I4)=1,1,0))</f>
      </c>
    </row>
    <row r="5" spans="1:35" ht="12.75">
      <c r="A5" s="3">
        <f t="shared" si="6"/>
      </c>
      <c r="B5" s="14">
        <f t="shared" si="0"/>
      </c>
      <c r="C5" s="33"/>
      <c r="D5" s="18">
        <f ca="1" t="shared" si="1"/>
      </c>
      <c r="E5" s="28"/>
      <c r="F5" s="38">
        <f ca="1" t="shared" si="7"/>
      </c>
      <c r="G5" s="33"/>
      <c r="H5" s="22">
        <f ca="1" t="shared" si="2"/>
      </c>
      <c r="I5" s="28"/>
      <c r="L5" s="116">
        <f t="shared" si="8"/>
        <v>0.001388888888888889</v>
      </c>
      <c r="M5">
        <f t="shared" si="9"/>
      </c>
      <c r="O5" s="3"/>
      <c r="P5" s="5">
        <f t="shared" si="3"/>
      </c>
      <c r="Q5" s="9">
        <f t="shared" si="4"/>
      </c>
      <c r="R5" s="5"/>
      <c r="S5" s="6"/>
      <c r="T5" s="51">
        <f t="shared" si="5"/>
      </c>
      <c r="U5" s="9">
        <f t="shared" si="10"/>
      </c>
      <c r="V5" s="6">
        <f t="shared" si="11"/>
      </c>
      <c r="AC5">
        <f t="shared" si="12"/>
      </c>
      <c r="AE5">
        <f t="shared" si="13"/>
      </c>
      <c r="AG5">
        <f t="shared" si="14"/>
      </c>
      <c r="AI5">
        <f t="shared" si="15"/>
      </c>
    </row>
    <row r="6" spans="1:35" ht="12.75">
      <c r="A6" s="3">
        <f t="shared" si="6"/>
      </c>
      <c r="B6" s="14">
        <f t="shared" si="0"/>
      </c>
      <c r="C6" s="33"/>
      <c r="D6" s="18">
        <f ca="1" t="shared" si="1"/>
      </c>
      <c r="E6" s="28"/>
      <c r="F6" s="40">
        <f ca="1" t="shared" si="7"/>
      </c>
      <c r="G6" s="33"/>
      <c r="H6" s="22">
        <f ca="1" t="shared" si="2"/>
      </c>
      <c r="I6" s="28"/>
      <c r="L6" s="116">
        <f t="shared" si="8"/>
        <v>0.001388888888888889</v>
      </c>
      <c r="M6">
        <f t="shared" si="9"/>
      </c>
      <c r="O6" s="3"/>
      <c r="P6" s="5">
        <f t="shared" si="3"/>
      </c>
      <c r="Q6" s="9">
        <f t="shared" si="4"/>
      </c>
      <c r="R6" s="5"/>
      <c r="S6" s="6"/>
      <c r="T6" s="51">
        <f t="shared" si="5"/>
      </c>
      <c r="U6" s="9">
        <f t="shared" si="10"/>
      </c>
      <c r="V6" s="6">
        <f t="shared" si="11"/>
      </c>
      <c r="AC6">
        <f t="shared" si="12"/>
      </c>
      <c r="AE6">
        <f t="shared" si="13"/>
      </c>
      <c r="AG6">
        <f t="shared" si="14"/>
      </c>
      <c r="AI6">
        <f t="shared" si="15"/>
      </c>
    </row>
    <row r="7" spans="1:35" ht="12.75">
      <c r="A7" s="3">
        <f t="shared" si="6"/>
      </c>
      <c r="B7" s="14">
        <f t="shared" si="0"/>
      </c>
      <c r="C7" s="33"/>
      <c r="D7" s="18">
        <f ca="1" t="shared" si="1"/>
      </c>
      <c r="E7" s="28"/>
      <c r="F7" s="40">
        <f ca="1" t="shared" si="7"/>
      </c>
      <c r="G7" s="33"/>
      <c r="H7" s="22">
        <f ca="1" t="shared" si="2"/>
      </c>
      <c r="I7" s="28"/>
      <c r="L7" s="116">
        <f t="shared" si="8"/>
        <v>0.001388888888888889</v>
      </c>
      <c r="M7">
        <f t="shared" si="9"/>
      </c>
      <c r="O7" s="3"/>
      <c r="P7" s="5">
        <f t="shared" si="3"/>
      </c>
      <c r="Q7" s="9">
        <f t="shared" si="4"/>
      </c>
      <c r="R7" s="5"/>
      <c r="S7" s="6"/>
      <c r="T7" s="51">
        <f t="shared" si="5"/>
      </c>
      <c r="U7" s="9">
        <f t="shared" si="10"/>
      </c>
      <c r="V7" s="6">
        <f t="shared" si="11"/>
      </c>
      <c r="AC7">
        <f t="shared" si="12"/>
      </c>
      <c r="AE7">
        <f t="shared" si="13"/>
      </c>
      <c r="AG7">
        <f t="shared" si="14"/>
      </c>
      <c r="AI7">
        <f t="shared" si="15"/>
      </c>
    </row>
    <row r="8" spans="1:35" ht="12.75">
      <c r="A8" s="3">
        <f t="shared" si="6"/>
      </c>
      <c r="B8" s="14">
        <f t="shared" si="0"/>
      </c>
      <c r="C8" s="33"/>
      <c r="D8" s="18">
        <f ca="1" t="shared" si="1"/>
      </c>
      <c r="E8" s="28"/>
      <c r="F8" s="40">
        <f ca="1" t="shared" si="7"/>
      </c>
      <c r="G8" s="33"/>
      <c r="H8" s="22">
        <f ca="1" t="shared" si="2"/>
      </c>
      <c r="I8" s="28"/>
      <c r="L8" s="116">
        <f t="shared" si="8"/>
        <v>0.001388888888888889</v>
      </c>
      <c r="M8">
        <f t="shared" si="9"/>
      </c>
      <c r="O8" s="3"/>
      <c r="P8" s="5">
        <f t="shared" si="3"/>
      </c>
      <c r="Q8" s="9">
        <f t="shared" si="4"/>
      </c>
      <c r="R8" s="5"/>
      <c r="S8" s="6"/>
      <c r="T8" s="9">
        <f t="shared" si="5"/>
      </c>
      <c r="U8" s="51">
        <f t="shared" si="10"/>
      </c>
      <c r="V8" s="6">
        <f t="shared" si="11"/>
      </c>
      <c r="AC8">
        <f t="shared" si="12"/>
      </c>
      <c r="AE8">
        <f t="shared" si="13"/>
      </c>
      <c r="AG8">
        <f t="shared" si="14"/>
      </c>
      <c r="AI8">
        <f t="shared" si="15"/>
      </c>
    </row>
    <row r="9" spans="1:35" ht="12.75">
      <c r="A9" s="3">
        <f t="shared" si="6"/>
      </c>
      <c r="B9" s="14">
        <f t="shared" si="0"/>
      </c>
      <c r="C9" s="33"/>
      <c r="D9" s="18">
        <f ca="1" t="shared" si="1"/>
      </c>
      <c r="E9" s="28"/>
      <c r="F9" s="40">
        <f ca="1" t="shared" si="7"/>
      </c>
      <c r="G9" s="33"/>
      <c r="H9" s="22">
        <f ca="1" t="shared" si="2"/>
      </c>
      <c r="I9" s="28"/>
      <c r="L9" s="116">
        <f t="shared" si="8"/>
        <v>0.001388888888888889</v>
      </c>
      <c r="M9">
        <f t="shared" si="9"/>
      </c>
      <c r="O9" s="3"/>
      <c r="P9" s="5">
        <f t="shared" si="3"/>
      </c>
      <c r="Q9" s="9">
        <f t="shared" si="4"/>
      </c>
      <c r="R9" s="5"/>
      <c r="S9" s="6"/>
      <c r="T9" s="9">
        <f t="shared" si="5"/>
      </c>
      <c r="U9" s="51">
        <f t="shared" si="10"/>
      </c>
      <c r="V9" s="6">
        <f t="shared" si="11"/>
      </c>
      <c r="AC9">
        <f t="shared" si="12"/>
      </c>
      <c r="AE9">
        <f t="shared" si="13"/>
      </c>
      <c r="AG9">
        <f t="shared" si="14"/>
      </c>
      <c r="AI9">
        <f t="shared" si="15"/>
      </c>
    </row>
    <row r="10" spans="1:35" ht="12.75">
      <c r="A10" s="3">
        <f t="shared" si="6"/>
      </c>
      <c r="B10" s="14">
        <f t="shared" si="0"/>
      </c>
      <c r="C10" s="33"/>
      <c r="D10" s="18">
        <f ca="1" t="shared" si="1"/>
      </c>
      <c r="E10" s="28"/>
      <c r="F10" s="40">
        <f ca="1" t="shared" si="7"/>
      </c>
      <c r="G10" s="33"/>
      <c r="H10" s="22">
        <f ca="1" t="shared" si="2"/>
      </c>
      <c r="I10" s="28"/>
      <c r="L10" s="116">
        <f t="shared" si="8"/>
        <v>0.001388888888888889</v>
      </c>
      <c r="M10">
        <f t="shared" si="9"/>
      </c>
      <c r="O10" s="3"/>
      <c r="P10" s="5">
        <f t="shared" si="3"/>
      </c>
      <c r="Q10" s="9">
        <f t="shared" si="4"/>
      </c>
      <c r="R10" s="5"/>
      <c r="S10" s="6"/>
      <c r="T10" s="9">
        <f t="shared" si="5"/>
      </c>
      <c r="U10" s="9">
        <f t="shared" si="10"/>
      </c>
      <c r="V10" s="6">
        <f t="shared" si="11"/>
      </c>
      <c r="AC10">
        <f t="shared" si="12"/>
      </c>
      <c r="AE10">
        <f t="shared" si="13"/>
      </c>
      <c r="AG10">
        <f t="shared" si="14"/>
      </c>
      <c r="AI10">
        <f t="shared" si="15"/>
      </c>
    </row>
    <row r="11" spans="1:35" ht="12.75">
      <c r="A11" s="3">
        <f t="shared" si="6"/>
      </c>
      <c r="B11" s="14">
        <f t="shared" si="0"/>
      </c>
      <c r="C11" s="33"/>
      <c r="D11" s="18">
        <f ca="1" t="shared" si="1"/>
      </c>
      <c r="E11" s="28"/>
      <c r="F11" s="40">
        <f ca="1" t="shared" si="7"/>
      </c>
      <c r="G11" s="33"/>
      <c r="H11" s="22">
        <f ca="1" t="shared" si="2"/>
      </c>
      <c r="I11" s="28"/>
      <c r="L11" s="116">
        <f t="shared" si="8"/>
        <v>0.001388888888888889</v>
      </c>
      <c r="M11">
        <f t="shared" si="9"/>
      </c>
      <c r="O11" s="3"/>
      <c r="P11" s="5">
        <f t="shared" si="3"/>
      </c>
      <c r="Q11" s="9">
        <f t="shared" si="4"/>
      </c>
      <c r="R11" s="5"/>
      <c r="S11" s="6"/>
      <c r="T11" s="9">
        <f t="shared" si="5"/>
      </c>
      <c r="U11" s="9">
        <f t="shared" si="10"/>
      </c>
      <c r="V11" s="6">
        <f t="shared" si="11"/>
      </c>
      <c r="AC11">
        <f t="shared" si="12"/>
      </c>
      <c r="AE11">
        <f t="shared" si="13"/>
      </c>
      <c r="AG11">
        <f t="shared" si="14"/>
      </c>
      <c r="AI11">
        <f t="shared" si="15"/>
      </c>
    </row>
    <row r="12" spans="1:35" ht="12.75">
      <c r="A12" s="3">
        <f t="shared" si="6"/>
      </c>
      <c r="B12" s="14">
        <f t="shared" si="0"/>
      </c>
      <c r="C12" s="33"/>
      <c r="D12" s="18">
        <f ca="1" t="shared" si="1"/>
      </c>
      <c r="E12" s="28"/>
      <c r="F12" s="40">
        <f ca="1" t="shared" si="7"/>
      </c>
      <c r="G12" s="33"/>
      <c r="H12" s="22">
        <f ca="1" t="shared" si="2"/>
      </c>
      <c r="I12" s="28"/>
      <c r="L12" s="116">
        <f t="shared" si="8"/>
        <v>0.001388888888888889</v>
      </c>
      <c r="M12">
        <f t="shared" si="9"/>
      </c>
      <c r="O12" s="3"/>
      <c r="P12" s="5">
        <f t="shared" si="3"/>
      </c>
      <c r="Q12" s="9">
        <f t="shared" si="4"/>
      </c>
      <c r="R12" s="5"/>
      <c r="S12" s="6"/>
      <c r="T12" s="9">
        <f t="shared" si="5"/>
      </c>
      <c r="U12" s="51">
        <f t="shared" si="10"/>
      </c>
      <c r="V12" s="6">
        <f t="shared" si="11"/>
      </c>
      <c r="AC12">
        <f t="shared" si="12"/>
      </c>
      <c r="AE12">
        <f t="shared" si="13"/>
      </c>
      <c r="AG12">
        <f t="shared" si="14"/>
      </c>
      <c r="AI12">
        <f t="shared" si="15"/>
      </c>
    </row>
    <row r="13" spans="1:35" ht="12.75">
      <c r="A13" s="3">
        <f t="shared" si="6"/>
      </c>
      <c r="B13" s="14">
        <f t="shared" si="0"/>
      </c>
      <c r="C13" s="33"/>
      <c r="D13" s="18">
        <f ca="1" t="shared" si="1"/>
      </c>
      <c r="E13" s="28"/>
      <c r="F13" s="40">
        <f ca="1" t="shared" si="7"/>
      </c>
      <c r="G13" s="33"/>
      <c r="H13" s="22">
        <f ca="1" t="shared" si="2"/>
      </c>
      <c r="I13" s="28"/>
      <c r="L13" s="116">
        <f t="shared" si="8"/>
        <v>0.001388888888888889</v>
      </c>
      <c r="M13">
        <f t="shared" si="9"/>
      </c>
      <c r="O13" s="3"/>
      <c r="P13" s="5">
        <f t="shared" si="3"/>
      </c>
      <c r="Q13" s="9">
        <f t="shared" si="4"/>
      </c>
      <c r="R13" s="5"/>
      <c r="S13" s="6"/>
      <c r="T13" s="9">
        <f t="shared" si="5"/>
      </c>
      <c r="U13" s="51">
        <f t="shared" si="10"/>
      </c>
      <c r="V13" s="6">
        <f t="shared" si="11"/>
      </c>
      <c r="AC13">
        <f t="shared" si="12"/>
      </c>
      <c r="AE13">
        <f t="shared" si="13"/>
      </c>
      <c r="AG13">
        <f t="shared" si="14"/>
      </c>
      <c r="AI13">
        <f t="shared" si="15"/>
      </c>
    </row>
    <row r="14" spans="1:35" ht="12.75">
      <c r="A14" s="3">
        <f t="shared" si="6"/>
      </c>
      <c r="B14" s="14">
        <f t="shared" si="0"/>
      </c>
      <c r="C14" s="33"/>
      <c r="D14" s="18">
        <f ca="1" t="shared" si="1"/>
      </c>
      <c r="E14" s="28"/>
      <c r="F14" s="40">
        <f ca="1" t="shared" si="7"/>
      </c>
      <c r="G14" s="33"/>
      <c r="H14" s="22">
        <f ca="1" t="shared" si="2"/>
      </c>
      <c r="I14" s="28"/>
      <c r="L14" s="116">
        <f t="shared" si="8"/>
        <v>0.001388888888888889</v>
      </c>
      <c r="M14">
        <f t="shared" si="9"/>
      </c>
      <c r="O14" s="3"/>
      <c r="P14" s="5">
        <f t="shared" si="3"/>
      </c>
      <c r="Q14" s="9">
        <f t="shared" si="4"/>
      </c>
      <c r="R14" s="5"/>
      <c r="S14" s="6"/>
      <c r="T14" s="9">
        <f t="shared" si="5"/>
      </c>
      <c r="U14" s="9">
        <f t="shared" si="10"/>
      </c>
      <c r="V14" s="6">
        <f t="shared" si="11"/>
      </c>
      <c r="AC14">
        <f t="shared" si="12"/>
      </c>
      <c r="AE14">
        <f t="shared" si="13"/>
      </c>
      <c r="AG14">
        <f t="shared" si="14"/>
      </c>
      <c r="AI14">
        <f t="shared" si="15"/>
      </c>
    </row>
    <row r="15" spans="1:35" ht="12.75">
      <c r="A15" s="3">
        <f t="shared" si="6"/>
      </c>
      <c r="B15" s="14">
        <f t="shared" si="0"/>
      </c>
      <c r="C15" s="33"/>
      <c r="D15" s="18">
        <f ca="1" t="shared" si="1"/>
      </c>
      <c r="E15" s="28"/>
      <c r="F15" s="40">
        <f ca="1" t="shared" si="7"/>
      </c>
      <c r="G15" s="33"/>
      <c r="H15" s="22">
        <f ca="1" t="shared" si="2"/>
      </c>
      <c r="I15" s="28"/>
      <c r="L15" s="116">
        <f t="shared" si="8"/>
        <v>0.001388888888888889</v>
      </c>
      <c r="M15">
        <f t="shared" si="9"/>
      </c>
      <c r="O15" s="3"/>
      <c r="P15" s="5">
        <f t="shared" si="3"/>
      </c>
      <c r="Q15" s="9">
        <f t="shared" si="4"/>
      </c>
      <c r="R15" s="5"/>
      <c r="S15" s="6"/>
      <c r="T15" s="9">
        <f t="shared" si="5"/>
      </c>
      <c r="U15" s="51">
        <f t="shared" si="10"/>
      </c>
      <c r="V15" s="6">
        <f t="shared" si="11"/>
      </c>
      <c r="AC15">
        <f t="shared" si="12"/>
      </c>
      <c r="AE15">
        <f t="shared" si="13"/>
      </c>
      <c r="AG15">
        <f t="shared" si="14"/>
      </c>
      <c r="AI15">
        <f t="shared" si="15"/>
      </c>
    </row>
    <row r="16" spans="1:35" ht="12.75">
      <c r="A16" s="3">
        <f t="shared" si="6"/>
      </c>
      <c r="B16" s="14">
        <f t="shared" si="0"/>
      </c>
      <c r="C16" s="33"/>
      <c r="D16" s="18">
        <f ca="1" t="shared" si="1"/>
      </c>
      <c r="E16" s="28"/>
      <c r="F16" s="40">
        <f ca="1" t="shared" si="7"/>
      </c>
      <c r="G16" s="33"/>
      <c r="H16" s="22">
        <f ca="1" t="shared" si="2"/>
      </c>
      <c r="I16" s="28"/>
      <c r="L16" s="116">
        <f t="shared" si="8"/>
        <v>0.001388888888888889</v>
      </c>
      <c r="M16">
        <f t="shared" si="9"/>
      </c>
      <c r="O16" s="3"/>
      <c r="P16" s="5">
        <f t="shared" si="3"/>
      </c>
      <c r="Q16" s="9">
        <f t="shared" si="4"/>
      </c>
      <c r="R16" s="5"/>
      <c r="S16" s="6"/>
      <c r="T16" s="9">
        <f t="shared" si="5"/>
      </c>
      <c r="U16" s="51">
        <f t="shared" si="10"/>
      </c>
      <c r="V16" s="6">
        <f t="shared" si="11"/>
      </c>
      <c r="AC16">
        <f t="shared" si="12"/>
      </c>
      <c r="AE16">
        <f t="shared" si="13"/>
      </c>
      <c r="AG16">
        <f t="shared" si="14"/>
      </c>
      <c r="AI16">
        <f t="shared" si="15"/>
      </c>
    </row>
    <row r="17" spans="1:35" ht="12.75">
      <c r="A17" s="3">
        <f t="shared" si="6"/>
      </c>
      <c r="B17" s="14">
        <f t="shared" si="0"/>
      </c>
      <c r="C17" s="33"/>
      <c r="D17" s="18">
        <f ca="1" t="shared" si="1"/>
      </c>
      <c r="E17" s="28"/>
      <c r="F17" s="40">
        <f ca="1" t="shared" si="7"/>
      </c>
      <c r="G17" s="33"/>
      <c r="H17" s="22">
        <f ca="1" t="shared" si="2"/>
      </c>
      <c r="I17" s="28"/>
      <c r="L17" s="116">
        <f t="shared" si="8"/>
        <v>0.001388888888888889</v>
      </c>
      <c r="M17">
        <f t="shared" si="9"/>
      </c>
      <c r="O17" s="3"/>
      <c r="P17" s="5">
        <f t="shared" si="3"/>
      </c>
      <c r="Q17" s="9">
        <f t="shared" si="4"/>
      </c>
      <c r="R17" s="5"/>
      <c r="S17" s="6"/>
      <c r="T17" s="9">
        <f t="shared" si="5"/>
      </c>
      <c r="U17" s="9">
        <f t="shared" si="10"/>
      </c>
      <c r="V17" s="6">
        <f t="shared" si="11"/>
      </c>
      <c r="AC17">
        <f t="shared" si="12"/>
      </c>
      <c r="AE17">
        <f t="shared" si="13"/>
      </c>
      <c r="AG17">
        <f t="shared" si="14"/>
      </c>
      <c r="AI17">
        <f t="shared" si="15"/>
      </c>
    </row>
    <row r="18" spans="1:35" ht="12.75">
      <c r="A18" s="3">
        <f t="shared" si="6"/>
      </c>
      <c r="B18" s="14">
        <f t="shared" si="0"/>
      </c>
      <c r="C18" s="33"/>
      <c r="D18" s="18">
        <f ca="1" t="shared" si="1"/>
      </c>
      <c r="E18" s="28"/>
      <c r="F18" s="40">
        <f ca="1" t="shared" si="7"/>
      </c>
      <c r="G18" s="33"/>
      <c r="H18" s="22">
        <f ca="1" t="shared" si="2"/>
      </c>
      <c r="I18" s="28"/>
      <c r="L18" s="116">
        <f t="shared" si="8"/>
        <v>0.001388888888888889</v>
      </c>
      <c r="M18">
        <f t="shared" si="9"/>
      </c>
      <c r="O18" s="3"/>
      <c r="P18" s="5">
        <f t="shared" si="3"/>
      </c>
      <c r="Q18" s="9">
        <f t="shared" si="4"/>
      </c>
      <c r="R18" s="5"/>
      <c r="S18" s="6"/>
      <c r="T18" s="9">
        <f t="shared" si="5"/>
      </c>
      <c r="U18" s="9">
        <f t="shared" si="10"/>
      </c>
      <c r="V18" s="6">
        <f t="shared" si="11"/>
      </c>
      <c r="AC18">
        <f t="shared" si="12"/>
      </c>
      <c r="AE18">
        <f t="shared" si="13"/>
      </c>
      <c r="AG18">
        <f t="shared" si="14"/>
      </c>
      <c r="AI18">
        <f t="shared" si="15"/>
      </c>
    </row>
    <row r="19" spans="1:35" ht="12.75">
      <c r="A19" s="3">
        <f t="shared" si="6"/>
      </c>
      <c r="B19" s="14">
        <f t="shared" si="0"/>
      </c>
      <c r="C19" s="33"/>
      <c r="D19" s="18">
        <f ca="1" t="shared" si="1"/>
      </c>
      <c r="E19" s="28"/>
      <c r="F19" s="40">
        <f ca="1" t="shared" si="7"/>
      </c>
      <c r="G19" s="33"/>
      <c r="H19" s="22">
        <f ca="1" t="shared" si="2"/>
      </c>
      <c r="I19" s="28"/>
      <c r="L19" s="116">
        <f t="shared" si="8"/>
        <v>0.001388888888888889</v>
      </c>
      <c r="M19">
        <f t="shared" si="9"/>
      </c>
      <c r="O19" s="3"/>
      <c r="P19" s="5">
        <f t="shared" si="3"/>
      </c>
      <c r="Q19" s="9">
        <f t="shared" si="4"/>
      </c>
      <c r="R19" s="5"/>
      <c r="S19" s="6"/>
      <c r="T19" s="9">
        <f t="shared" si="5"/>
      </c>
      <c r="U19" s="9">
        <f t="shared" si="10"/>
      </c>
      <c r="V19" s="6">
        <f t="shared" si="11"/>
      </c>
      <c r="AC19">
        <f t="shared" si="12"/>
      </c>
      <c r="AE19">
        <f t="shared" si="13"/>
      </c>
      <c r="AG19">
        <f t="shared" si="14"/>
      </c>
      <c r="AI19">
        <f t="shared" si="15"/>
      </c>
    </row>
    <row r="20" spans="1:35" ht="12.75">
      <c r="A20" s="3">
        <f t="shared" si="6"/>
      </c>
      <c r="B20" s="14">
        <f t="shared" si="0"/>
      </c>
      <c r="C20" s="33"/>
      <c r="D20" s="18">
        <f ca="1" t="shared" si="1"/>
      </c>
      <c r="E20" s="28"/>
      <c r="F20" s="40">
        <f ca="1" t="shared" si="7"/>
      </c>
      <c r="G20" s="33"/>
      <c r="H20" s="22">
        <f ca="1" t="shared" si="2"/>
      </c>
      <c r="I20" s="28"/>
      <c r="L20" s="116">
        <f t="shared" si="8"/>
        <v>0.001388888888888889</v>
      </c>
      <c r="M20">
        <f t="shared" si="9"/>
      </c>
      <c r="O20" s="3"/>
      <c r="P20" s="5">
        <f t="shared" si="3"/>
      </c>
      <c r="Q20" s="9">
        <f t="shared" si="4"/>
      </c>
      <c r="R20" s="5"/>
      <c r="S20" s="6"/>
      <c r="T20" s="9">
        <f t="shared" si="5"/>
      </c>
      <c r="U20" s="51">
        <f t="shared" si="10"/>
      </c>
      <c r="V20" s="6">
        <f t="shared" si="11"/>
      </c>
      <c r="AC20">
        <f t="shared" si="12"/>
      </c>
      <c r="AE20">
        <f t="shared" si="13"/>
      </c>
      <c r="AG20">
        <f t="shared" si="14"/>
      </c>
      <c r="AI20">
        <f t="shared" si="15"/>
      </c>
    </row>
    <row r="21" spans="1:35" ht="12.75">
      <c r="A21" s="3">
        <f t="shared" si="6"/>
      </c>
      <c r="B21" s="14">
        <f t="shared" si="0"/>
      </c>
      <c r="C21" s="33"/>
      <c r="D21" s="18">
        <f ca="1" t="shared" si="1"/>
      </c>
      <c r="E21" s="28"/>
      <c r="F21" s="40">
        <f ca="1" t="shared" si="7"/>
      </c>
      <c r="G21" s="33"/>
      <c r="H21" s="22">
        <f ca="1" t="shared" si="2"/>
      </c>
      <c r="I21" s="28"/>
      <c r="L21" s="116">
        <f t="shared" si="8"/>
        <v>0.001388888888888889</v>
      </c>
      <c r="M21">
        <f t="shared" si="9"/>
      </c>
      <c r="O21" s="3"/>
      <c r="P21" s="5">
        <f t="shared" si="3"/>
      </c>
      <c r="Q21" s="9">
        <f t="shared" si="4"/>
      </c>
      <c r="R21" s="5"/>
      <c r="S21" s="6"/>
      <c r="T21" s="9">
        <f t="shared" si="5"/>
      </c>
      <c r="U21" s="9">
        <f t="shared" si="10"/>
      </c>
      <c r="V21" s="6">
        <f t="shared" si="11"/>
      </c>
      <c r="AC21">
        <f t="shared" si="12"/>
      </c>
      <c r="AE21">
        <f t="shared" si="13"/>
      </c>
      <c r="AG21">
        <f t="shared" si="14"/>
      </c>
      <c r="AI21">
        <f t="shared" si="15"/>
      </c>
    </row>
    <row r="22" spans="1:35" ht="12.75">
      <c r="A22" s="10">
        <f t="shared" si="6"/>
      </c>
      <c r="B22" s="15">
        <f t="shared" si="0"/>
      </c>
      <c r="C22" s="36"/>
      <c r="D22" s="19">
        <f ca="1" t="shared" si="1"/>
      </c>
      <c r="E22" s="29"/>
      <c r="F22" s="41">
        <f ca="1" t="shared" si="7"/>
      </c>
      <c r="G22" s="36"/>
      <c r="H22" s="23">
        <f ca="1" t="shared" si="2"/>
      </c>
      <c r="I22" s="29"/>
      <c r="L22" s="116">
        <f t="shared" si="8"/>
        <v>0.001388888888888889</v>
      </c>
      <c r="M22">
        <f t="shared" si="9"/>
      </c>
      <c r="O22" s="10"/>
      <c r="P22" s="7">
        <f t="shared" si="3"/>
      </c>
      <c r="Q22" s="32">
        <f t="shared" si="4"/>
      </c>
      <c r="R22" s="7"/>
      <c r="S22" s="8"/>
      <c r="T22" s="32">
        <f t="shared" si="5"/>
      </c>
      <c r="U22" s="32">
        <f t="shared" si="10"/>
      </c>
      <c r="V22" s="8">
        <f t="shared" si="11"/>
      </c>
      <c r="AC22">
        <f t="shared" si="12"/>
      </c>
      <c r="AE22">
        <f t="shared" si="13"/>
      </c>
      <c r="AG22">
        <f t="shared" si="14"/>
      </c>
      <c r="AI22">
        <f t="shared" si="15"/>
      </c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</sheetData>
  <sheetProtection selectLockedCells="1"/>
  <mergeCells count="3">
    <mergeCell ref="T1:V1"/>
    <mergeCell ref="P1:Q1"/>
    <mergeCell ref="R1:S1"/>
  </mergeCells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Q40"/>
  <sheetViews>
    <sheetView workbookViewId="0" topLeftCell="A1">
      <selection activeCell="F2" sqref="F2"/>
    </sheetView>
  </sheetViews>
  <sheetFormatPr defaultColWidth="9.140625" defaultRowHeight="12.75"/>
  <cols>
    <col min="1" max="9" width="8.7109375" style="0" customWidth="1"/>
    <col min="10" max="12" width="8.7109375" style="0" hidden="1" customWidth="1"/>
    <col min="13" max="13" width="15.8515625" style="0" hidden="1" customWidth="1"/>
    <col min="14" max="17" width="8.7109375" style="0" customWidth="1"/>
  </cols>
  <sheetData>
    <row r="1" spans="1:17" ht="12.75" customHeight="1">
      <c r="A1" s="1"/>
      <c r="B1" s="196" t="s">
        <v>89</v>
      </c>
      <c r="C1" s="196"/>
      <c r="D1" s="197" t="s">
        <v>90</v>
      </c>
      <c r="E1" s="197"/>
      <c r="F1" s="198" t="s">
        <v>91</v>
      </c>
      <c r="G1" s="198"/>
      <c r="H1" s="199" t="s">
        <v>92</v>
      </c>
      <c r="I1" s="199"/>
      <c r="J1" s="1"/>
      <c r="K1" s="1"/>
      <c r="L1" s="141">
        <v>0.0006944444444444445</v>
      </c>
      <c r="M1" s="44"/>
      <c r="N1" s="3"/>
      <c r="O1" s="37">
        <f>COUNTA(O3:O32)</f>
        <v>0</v>
      </c>
      <c r="P1" s="195"/>
      <c r="Q1" s="195"/>
    </row>
    <row r="2" spans="1:17" ht="12.75" customHeight="1">
      <c r="A2" s="1" t="s">
        <v>0</v>
      </c>
      <c r="B2" s="79" t="s">
        <v>1</v>
      </c>
      <c r="C2" s="79" t="s">
        <v>2</v>
      </c>
      <c r="D2" s="16" t="s">
        <v>1</v>
      </c>
      <c r="E2" s="16" t="s">
        <v>2</v>
      </c>
      <c r="F2" s="24" t="s">
        <v>1</v>
      </c>
      <c r="G2" s="24" t="s">
        <v>2</v>
      </c>
      <c r="H2" s="20" t="s">
        <v>1</v>
      </c>
      <c r="I2" s="20" t="s">
        <v>2</v>
      </c>
      <c r="J2" s="1"/>
      <c r="K2" s="1"/>
      <c r="L2" s="1"/>
      <c r="M2" s="1"/>
      <c r="N2" s="10"/>
      <c r="O2" s="1" t="s">
        <v>1</v>
      </c>
      <c r="P2" s="1" t="s">
        <v>2</v>
      </c>
      <c r="Q2" s="1" t="s">
        <v>6</v>
      </c>
    </row>
    <row r="3" spans="1:17" ht="12.75" customHeight="1">
      <c r="A3" s="2">
        <f>IF(B3="","",1)</f>
      </c>
      <c r="B3" s="13">
        <f aca="true" t="shared" si="0" ref="B3:B32">IF(O3="","",O3)</f>
      </c>
      <c r="C3" s="27"/>
      <c r="D3" s="17">
        <f ca="1">IF(B3="","",INDIRECT("B"&amp;O1+2,TRUE))</f>
      </c>
      <c r="E3" s="27"/>
      <c r="F3" s="25">
        <f ca="1">IF(B3="","",INDIRECT("D"&amp;O1+2,TRUE))</f>
      </c>
      <c r="G3" s="27"/>
      <c r="H3" s="21">
        <f ca="1">IF(B3="","",INDIRECT("F"&amp;O1+2,TRUE))</f>
      </c>
      <c r="I3" s="27"/>
      <c r="L3" s="116">
        <f>L$1</f>
        <v>0.0006944444444444445</v>
      </c>
      <c r="M3">
        <f>IF(O3="","",P3)</f>
      </c>
      <c r="N3" s="2"/>
      <c r="O3" s="4"/>
      <c r="P3" s="4">
        <f aca="true" t="shared" si="1" ref="P3:P32">IF($O3&gt;" ",IF(OR(P$1="",P$1=$N3),0+INDEX($C$3:$C$32,MATCH($O3,$B$3:$B$32,0),1)+INDEX($E$3:$E$32,MATCH($O3,$D$3:$D$32,0),1)+INDEX($G$3:$G$32,MATCH($O3,$F$3:$F$32,0),1)+INDEX($I$3:$I$32,MATCH($O3,$H$3:$H$32,0),1),""),"")</f>
      </c>
      <c r="Q3" s="11">
        <f aca="true" t="shared" si="2" ref="Q3:Q32">IF(ISNUMBER(P3),RANK(P3,P$3:P$32,0),"")</f>
      </c>
    </row>
    <row r="4" spans="1:17" ht="12.75" customHeight="1">
      <c r="A4" s="3">
        <f aca="true" t="shared" si="3" ref="A4:A21">IF(B4="","",A3+1)</f>
      </c>
      <c r="B4" s="14">
        <f t="shared" si="0"/>
      </c>
      <c r="C4" s="28"/>
      <c r="D4" s="18">
        <f aca="true" t="shared" si="4" ref="D4:D32">IF(B4="","",B3)</f>
      </c>
      <c r="E4" s="28"/>
      <c r="F4" s="26">
        <f aca="true" t="shared" si="5" ref="F4:F32">IF(D4="","",D3)</f>
      </c>
      <c r="G4" s="28"/>
      <c r="H4" s="22">
        <f aca="true" t="shared" si="6" ref="H4:H32">IF(F4="","",F3)</f>
      </c>
      <c r="I4" s="28"/>
      <c r="L4" s="116">
        <f aca="true" t="shared" si="7" ref="L4:L32">L$1</f>
        <v>0.0006944444444444445</v>
      </c>
      <c r="M4">
        <f aca="true" t="shared" si="8" ref="M4:M32">IF(O4="","",P4)</f>
      </c>
      <c r="N4" s="3"/>
      <c r="O4" s="5"/>
      <c r="P4" s="5">
        <f t="shared" si="1"/>
      </c>
      <c r="Q4" s="6">
        <f t="shared" si="2"/>
      </c>
    </row>
    <row r="5" spans="1:17" ht="12.75" customHeight="1">
      <c r="A5" s="3">
        <f t="shared" si="3"/>
      </c>
      <c r="B5" s="14">
        <f t="shared" si="0"/>
      </c>
      <c r="C5" s="28"/>
      <c r="D5" s="18">
        <f t="shared" si="4"/>
      </c>
      <c r="E5" s="28"/>
      <c r="F5" s="26">
        <f t="shared" si="5"/>
      </c>
      <c r="G5" s="28"/>
      <c r="H5" s="22">
        <f t="shared" si="6"/>
      </c>
      <c r="I5" s="28"/>
      <c r="L5" s="116">
        <f t="shared" si="7"/>
        <v>0.0006944444444444445</v>
      </c>
      <c r="M5">
        <f t="shared" si="8"/>
      </c>
      <c r="N5" s="3"/>
      <c r="O5" s="5"/>
      <c r="P5" s="5">
        <f t="shared" si="1"/>
      </c>
      <c r="Q5" s="6">
        <f t="shared" si="2"/>
      </c>
    </row>
    <row r="6" spans="1:17" ht="12.75" customHeight="1">
      <c r="A6" s="3">
        <f t="shared" si="3"/>
      </c>
      <c r="B6" s="14">
        <f t="shared" si="0"/>
      </c>
      <c r="C6" s="28"/>
      <c r="D6" s="18">
        <f t="shared" si="4"/>
      </c>
      <c r="E6" s="28"/>
      <c r="F6" s="26">
        <f t="shared" si="5"/>
      </c>
      <c r="G6" s="28"/>
      <c r="H6" s="22">
        <f t="shared" si="6"/>
      </c>
      <c r="I6" s="28"/>
      <c r="L6" s="116">
        <f t="shared" si="7"/>
        <v>0.0006944444444444445</v>
      </c>
      <c r="M6">
        <f t="shared" si="8"/>
      </c>
      <c r="N6" s="3"/>
      <c r="O6" s="5"/>
      <c r="P6" s="5">
        <f t="shared" si="1"/>
      </c>
      <c r="Q6" s="6">
        <f t="shared" si="2"/>
      </c>
    </row>
    <row r="7" spans="1:17" ht="12.75" customHeight="1">
      <c r="A7" s="3">
        <f t="shared" si="3"/>
      </c>
      <c r="B7" s="14">
        <f t="shared" si="0"/>
      </c>
      <c r="C7" s="28"/>
      <c r="D7" s="18">
        <f t="shared" si="4"/>
      </c>
      <c r="E7" s="28"/>
      <c r="F7" s="26">
        <f t="shared" si="5"/>
      </c>
      <c r="G7" s="28"/>
      <c r="H7" s="22">
        <f t="shared" si="6"/>
      </c>
      <c r="I7" s="28"/>
      <c r="L7" s="116">
        <f t="shared" si="7"/>
        <v>0.0006944444444444445</v>
      </c>
      <c r="M7">
        <f t="shared" si="8"/>
      </c>
      <c r="N7" s="3"/>
      <c r="O7" s="5"/>
      <c r="P7" s="5">
        <f t="shared" si="1"/>
      </c>
      <c r="Q7" s="6">
        <f t="shared" si="2"/>
      </c>
    </row>
    <row r="8" spans="1:17" ht="12.75" customHeight="1">
      <c r="A8" s="3">
        <f t="shared" si="3"/>
      </c>
      <c r="B8" s="14">
        <f t="shared" si="0"/>
      </c>
      <c r="C8" s="28"/>
      <c r="D8" s="18">
        <f t="shared" si="4"/>
      </c>
      <c r="E8" s="28"/>
      <c r="F8" s="26">
        <f t="shared" si="5"/>
      </c>
      <c r="G8" s="28"/>
      <c r="H8" s="22">
        <f t="shared" si="6"/>
      </c>
      <c r="I8" s="28"/>
      <c r="L8" s="116">
        <f t="shared" si="7"/>
        <v>0.0006944444444444445</v>
      </c>
      <c r="M8">
        <f t="shared" si="8"/>
      </c>
      <c r="N8" s="3"/>
      <c r="O8" s="5"/>
      <c r="P8" s="5">
        <f t="shared" si="1"/>
      </c>
      <c r="Q8" s="6">
        <f t="shared" si="2"/>
      </c>
    </row>
    <row r="9" spans="1:17" ht="12.75" customHeight="1">
      <c r="A9" s="3">
        <f t="shared" si="3"/>
      </c>
      <c r="B9" s="14">
        <f t="shared" si="0"/>
      </c>
      <c r="C9" s="28"/>
      <c r="D9" s="18">
        <f t="shared" si="4"/>
      </c>
      <c r="E9" s="28"/>
      <c r="F9" s="26">
        <f t="shared" si="5"/>
      </c>
      <c r="G9" s="28"/>
      <c r="H9" s="22">
        <f t="shared" si="6"/>
      </c>
      <c r="I9" s="28"/>
      <c r="L9" s="116">
        <f t="shared" si="7"/>
        <v>0.0006944444444444445</v>
      </c>
      <c r="M9">
        <f t="shared" si="8"/>
      </c>
      <c r="N9" s="3"/>
      <c r="O9" s="5"/>
      <c r="P9" s="5">
        <f t="shared" si="1"/>
      </c>
      <c r="Q9" s="6">
        <f t="shared" si="2"/>
      </c>
    </row>
    <row r="10" spans="1:17" ht="12.75" customHeight="1">
      <c r="A10" s="3">
        <f t="shared" si="3"/>
      </c>
      <c r="B10" s="14">
        <f t="shared" si="0"/>
      </c>
      <c r="C10" s="28"/>
      <c r="D10" s="18">
        <f t="shared" si="4"/>
      </c>
      <c r="E10" s="28"/>
      <c r="F10" s="26">
        <f t="shared" si="5"/>
      </c>
      <c r="G10" s="28"/>
      <c r="H10" s="22">
        <f t="shared" si="6"/>
      </c>
      <c r="I10" s="28"/>
      <c r="L10" s="116">
        <f t="shared" si="7"/>
        <v>0.0006944444444444445</v>
      </c>
      <c r="M10">
        <f t="shared" si="8"/>
      </c>
      <c r="N10" s="3"/>
      <c r="O10" s="5"/>
      <c r="P10" s="5">
        <f t="shared" si="1"/>
      </c>
      <c r="Q10" s="6">
        <f t="shared" si="2"/>
      </c>
    </row>
    <row r="11" spans="1:17" ht="12.75" customHeight="1">
      <c r="A11" s="3">
        <f t="shared" si="3"/>
      </c>
      <c r="B11" s="14">
        <f t="shared" si="0"/>
      </c>
      <c r="C11" s="28"/>
      <c r="D11" s="18">
        <f t="shared" si="4"/>
      </c>
      <c r="E11" s="28"/>
      <c r="F11" s="26">
        <f t="shared" si="5"/>
      </c>
      <c r="G11" s="28"/>
      <c r="H11" s="22">
        <f t="shared" si="6"/>
      </c>
      <c r="I11" s="28"/>
      <c r="L11" s="116">
        <f t="shared" si="7"/>
        <v>0.0006944444444444445</v>
      </c>
      <c r="M11">
        <f t="shared" si="8"/>
      </c>
      <c r="N11" s="3"/>
      <c r="O11" s="5"/>
      <c r="P11" s="5">
        <f t="shared" si="1"/>
      </c>
      <c r="Q11" s="6">
        <f t="shared" si="2"/>
      </c>
    </row>
    <row r="12" spans="1:17" ht="12.75" customHeight="1">
      <c r="A12" s="3">
        <f t="shared" si="3"/>
      </c>
      <c r="B12" s="14">
        <f t="shared" si="0"/>
      </c>
      <c r="C12" s="28"/>
      <c r="D12" s="18">
        <f t="shared" si="4"/>
      </c>
      <c r="E12" s="28"/>
      <c r="F12" s="26">
        <f t="shared" si="5"/>
      </c>
      <c r="G12" s="28"/>
      <c r="H12" s="22">
        <f t="shared" si="6"/>
      </c>
      <c r="I12" s="28"/>
      <c r="L12" s="116">
        <f t="shared" si="7"/>
        <v>0.0006944444444444445</v>
      </c>
      <c r="M12">
        <f t="shared" si="8"/>
      </c>
      <c r="N12" s="3"/>
      <c r="O12" s="5"/>
      <c r="P12" s="5">
        <f t="shared" si="1"/>
      </c>
      <c r="Q12" s="6">
        <f t="shared" si="2"/>
      </c>
    </row>
    <row r="13" spans="1:17" ht="12.75" customHeight="1">
      <c r="A13" s="3">
        <f t="shared" si="3"/>
      </c>
      <c r="B13" s="14">
        <f t="shared" si="0"/>
      </c>
      <c r="C13" s="28"/>
      <c r="D13" s="18">
        <f t="shared" si="4"/>
      </c>
      <c r="E13" s="28"/>
      <c r="F13" s="26">
        <f t="shared" si="5"/>
      </c>
      <c r="G13" s="28"/>
      <c r="H13" s="22">
        <f t="shared" si="6"/>
      </c>
      <c r="I13" s="28"/>
      <c r="L13" s="116">
        <f t="shared" si="7"/>
        <v>0.0006944444444444445</v>
      </c>
      <c r="M13">
        <f t="shared" si="8"/>
      </c>
      <c r="N13" s="3"/>
      <c r="O13" s="5"/>
      <c r="P13" s="5">
        <f t="shared" si="1"/>
      </c>
      <c r="Q13" s="6">
        <f t="shared" si="2"/>
      </c>
    </row>
    <row r="14" spans="1:17" ht="12.75" customHeight="1">
      <c r="A14" s="3">
        <f t="shared" si="3"/>
      </c>
      <c r="B14" s="14">
        <f t="shared" si="0"/>
      </c>
      <c r="C14" s="28"/>
      <c r="D14" s="18">
        <f t="shared" si="4"/>
      </c>
      <c r="E14" s="28"/>
      <c r="F14" s="26">
        <f t="shared" si="5"/>
      </c>
      <c r="G14" s="28"/>
      <c r="H14" s="22">
        <f t="shared" si="6"/>
      </c>
      <c r="I14" s="28"/>
      <c r="L14" s="116">
        <f t="shared" si="7"/>
        <v>0.0006944444444444445</v>
      </c>
      <c r="M14">
        <f t="shared" si="8"/>
      </c>
      <c r="N14" s="3"/>
      <c r="O14" s="5"/>
      <c r="P14" s="5">
        <f t="shared" si="1"/>
      </c>
      <c r="Q14" s="6">
        <f t="shared" si="2"/>
      </c>
    </row>
    <row r="15" spans="1:17" ht="12.75" customHeight="1">
      <c r="A15" s="3">
        <f t="shared" si="3"/>
      </c>
      <c r="B15" s="14">
        <f t="shared" si="0"/>
      </c>
      <c r="C15" s="28"/>
      <c r="D15" s="18">
        <f t="shared" si="4"/>
      </c>
      <c r="E15" s="28"/>
      <c r="F15" s="26">
        <f t="shared" si="5"/>
      </c>
      <c r="G15" s="28"/>
      <c r="H15" s="22">
        <f t="shared" si="6"/>
      </c>
      <c r="I15" s="28"/>
      <c r="L15" s="116">
        <f t="shared" si="7"/>
        <v>0.0006944444444444445</v>
      </c>
      <c r="M15">
        <f t="shared" si="8"/>
      </c>
      <c r="N15" s="3"/>
      <c r="O15" s="5"/>
      <c r="P15" s="5">
        <f t="shared" si="1"/>
      </c>
      <c r="Q15" s="6">
        <f t="shared" si="2"/>
      </c>
    </row>
    <row r="16" spans="1:17" ht="12.75" customHeight="1">
      <c r="A16" s="3">
        <f t="shared" si="3"/>
      </c>
      <c r="B16" s="14">
        <f t="shared" si="0"/>
      </c>
      <c r="C16" s="28"/>
      <c r="D16" s="18">
        <f t="shared" si="4"/>
      </c>
      <c r="E16" s="28"/>
      <c r="F16" s="26">
        <f t="shared" si="5"/>
      </c>
      <c r="G16" s="28"/>
      <c r="H16" s="22">
        <f t="shared" si="6"/>
      </c>
      <c r="I16" s="28"/>
      <c r="L16" s="116">
        <f t="shared" si="7"/>
        <v>0.0006944444444444445</v>
      </c>
      <c r="M16">
        <f t="shared" si="8"/>
      </c>
      <c r="N16" s="3"/>
      <c r="O16" s="5"/>
      <c r="P16" s="5">
        <f t="shared" si="1"/>
      </c>
      <c r="Q16" s="6">
        <f t="shared" si="2"/>
      </c>
    </row>
    <row r="17" spans="1:17" ht="12.75" customHeight="1">
      <c r="A17" s="3">
        <f t="shared" si="3"/>
      </c>
      <c r="B17" s="14">
        <f t="shared" si="0"/>
      </c>
      <c r="C17" s="28"/>
      <c r="D17" s="18">
        <f t="shared" si="4"/>
      </c>
      <c r="E17" s="28"/>
      <c r="F17" s="26">
        <f t="shared" si="5"/>
      </c>
      <c r="G17" s="28"/>
      <c r="H17" s="22">
        <f t="shared" si="6"/>
      </c>
      <c r="I17" s="28"/>
      <c r="L17" s="116">
        <f t="shared" si="7"/>
        <v>0.0006944444444444445</v>
      </c>
      <c r="M17">
        <f t="shared" si="8"/>
      </c>
      <c r="N17" s="3"/>
      <c r="O17" s="5"/>
      <c r="P17" s="5">
        <f t="shared" si="1"/>
      </c>
      <c r="Q17" s="6">
        <f t="shared" si="2"/>
      </c>
    </row>
    <row r="18" spans="1:17" ht="12.75" customHeight="1">
      <c r="A18" s="3">
        <f t="shared" si="3"/>
      </c>
      <c r="B18" s="14">
        <f t="shared" si="0"/>
      </c>
      <c r="C18" s="28"/>
      <c r="D18" s="18">
        <f t="shared" si="4"/>
      </c>
      <c r="E18" s="28"/>
      <c r="F18" s="26">
        <f t="shared" si="5"/>
      </c>
      <c r="G18" s="28"/>
      <c r="H18" s="22">
        <f t="shared" si="6"/>
      </c>
      <c r="I18" s="28"/>
      <c r="L18" s="116">
        <f t="shared" si="7"/>
        <v>0.0006944444444444445</v>
      </c>
      <c r="M18">
        <f t="shared" si="8"/>
      </c>
      <c r="N18" s="3"/>
      <c r="O18" s="5"/>
      <c r="P18" s="5">
        <f t="shared" si="1"/>
      </c>
      <c r="Q18" s="6">
        <f t="shared" si="2"/>
      </c>
    </row>
    <row r="19" spans="1:17" ht="12.75" customHeight="1">
      <c r="A19" s="3">
        <f t="shared" si="3"/>
      </c>
      <c r="B19" s="14">
        <f t="shared" si="0"/>
      </c>
      <c r="C19" s="28"/>
      <c r="D19" s="18">
        <f t="shared" si="4"/>
      </c>
      <c r="E19" s="28"/>
      <c r="F19" s="26">
        <f t="shared" si="5"/>
      </c>
      <c r="G19" s="28"/>
      <c r="H19" s="22">
        <f t="shared" si="6"/>
      </c>
      <c r="I19" s="28"/>
      <c r="L19" s="116">
        <f t="shared" si="7"/>
        <v>0.0006944444444444445</v>
      </c>
      <c r="M19">
        <f t="shared" si="8"/>
      </c>
      <c r="N19" s="3"/>
      <c r="O19" s="5"/>
      <c r="P19" s="5">
        <f t="shared" si="1"/>
      </c>
      <c r="Q19" s="6">
        <f t="shared" si="2"/>
      </c>
    </row>
    <row r="20" spans="1:17" ht="12.75" customHeight="1">
      <c r="A20" s="3">
        <f t="shared" si="3"/>
      </c>
      <c r="B20" s="14">
        <f t="shared" si="0"/>
      </c>
      <c r="C20" s="28"/>
      <c r="D20" s="18">
        <f t="shared" si="4"/>
      </c>
      <c r="E20" s="28"/>
      <c r="F20" s="26">
        <f t="shared" si="5"/>
      </c>
      <c r="G20" s="28"/>
      <c r="H20" s="22">
        <f t="shared" si="6"/>
      </c>
      <c r="I20" s="28"/>
      <c r="L20" s="116">
        <f t="shared" si="7"/>
        <v>0.0006944444444444445</v>
      </c>
      <c r="M20">
        <f t="shared" si="8"/>
      </c>
      <c r="N20" s="3"/>
      <c r="O20" s="5"/>
      <c r="P20" s="5">
        <f t="shared" si="1"/>
      </c>
      <c r="Q20" s="6">
        <f t="shared" si="2"/>
      </c>
    </row>
    <row r="21" spans="1:17" ht="12.75" customHeight="1">
      <c r="A21" s="3">
        <f t="shared" si="3"/>
      </c>
      <c r="B21" s="14">
        <f t="shared" si="0"/>
      </c>
      <c r="C21" s="28"/>
      <c r="D21" s="18">
        <f t="shared" si="4"/>
      </c>
      <c r="E21" s="28"/>
      <c r="F21" s="26">
        <f t="shared" si="5"/>
      </c>
      <c r="G21" s="28"/>
      <c r="H21" s="22">
        <f t="shared" si="6"/>
      </c>
      <c r="I21" s="28"/>
      <c r="L21" s="116">
        <f t="shared" si="7"/>
        <v>0.0006944444444444445</v>
      </c>
      <c r="M21">
        <f t="shared" si="8"/>
      </c>
      <c r="N21" s="3"/>
      <c r="O21" s="5"/>
      <c r="P21" s="5">
        <f t="shared" si="1"/>
      </c>
      <c r="Q21" s="6">
        <f t="shared" si="2"/>
      </c>
    </row>
    <row r="22" spans="1:17" ht="12.75" customHeight="1">
      <c r="A22" s="3">
        <f aca="true" t="shared" si="9" ref="A22:A32">IF(B22="","",A13+1)</f>
      </c>
      <c r="B22" s="14">
        <f t="shared" si="0"/>
      </c>
      <c r="C22" s="28"/>
      <c r="D22" s="18">
        <f t="shared" si="4"/>
      </c>
      <c r="E22" s="28"/>
      <c r="F22" s="26">
        <f t="shared" si="5"/>
      </c>
      <c r="G22" s="28"/>
      <c r="H22" s="22">
        <f t="shared" si="6"/>
      </c>
      <c r="I22" s="28"/>
      <c r="L22" s="116">
        <f t="shared" si="7"/>
        <v>0.0006944444444444445</v>
      </c>
      <c r="M22">
        <f t="shared" si="8"/>
      </c>
      <c r="N22" s="3"/>
      <c r="O22" s="5"/>
      <c r="P22" s="5">
        <f t="shared" si="1"/>
      </c>
      <c r="Q22" s="6">
        <f t="shared" si="2"/>
      </c>
    </row>
    <row r="23" spans="1:17" ht="12.75" customHeight="1">
      <c r="A23" s="3">
        <f t="shared" si="9"/>
      </c>
      <c r="B23" s="14">
        <f t="shared" si="0"/>
      </c>
      <c r="C23" s="28"/>
      <c r="D23" s="18">
        <f t="shared" si="4"/>
      </c>
      <c r="E23" s="28"/>
      <c r="F23" s="26">
        <f t="shared" si="5"/>
      </c>
      <c r="G23" s="28"/>
      <c r="H23" s="22">
        <f t="shared" si="6"/>
      </c>
      <c r="I23" s="28"/>
      <c r="L23" s="116">
        <f t="shared" si="7"/>
        <v>0.0006944444444444445</v>
      </c>
      <c r="M23">
        <f t="shared" si="8"/>
      </c>
      <c r="N23" s="3"/>
      <c r="O23" s="5"/>
      <c r="P23" s="5">
        <f t="shared" si="1"/>
      </c>
      <c r="Q23" s="6">
        <f t="shared" si="2"/>
      </c>
    </row>
    <row r="24" spans="1:17" ht="12.75" customHeight="1">
      <c r="A24" s="3">
        <f t="shared" si="9"/>
      </c>
      <c r="B24" s="14">
        <f t="shared" si="0"/>
      </c>
      <c r="C24" s="28"/>
      <c r="D24" s="18">
        <f t="shared" si="4"/>
      </c>
      <c r="E24" s="28"/>
      <c r="F24" s="26">
        <f t="shared" si="5"/>
      </c>
      <c r="G24" s="28"/>
      <c r="H24" s="22">
        <f t="shared" si="6"/>
      </c>
      <c r="I24" s="28"/>
      <c r="L24" s="116">
        <f t="shared" si="7"/>
        <v>0.0006944444444444445</v>
      </c>
      <c r="M24">
        <f t="shared" si="8"/>
      </c>
      <c r="N24" s="3"/>
      <c r="O24" s="5"/>
      <c r="P24" s="5">
        <f t="shared" si="1"/>
      </c>
      <c r="Q24" s="6">
        <f t="shared" si="2"/>
      </c>
    </row>
    <row r="25" spans="1:17" ht="12.75" customHeight="1">
      <c r="A25" s="3">
        <f t="shared" si="9"/>
      </c>
      <c r="B25" s="14">
        <f t="shared" si="0"/>
      </c>
      <c r="C25" s="28"/>
      <c r="D25" s="18">
        <f t="shared" si="4"/>
      </c>
      <c r="E25" s="28"/>
      <c r="F25" s="26">
        <f t="shared" si="5"/>
      </c>
      <c r="G25" s="28"/>
      <c r="H25" s="22">
        <f t="shared" si="6"/>
      </c>
      <c r="I25" s="28"/>
      <c r="L25" s="116">
        <f t="shared" si="7"/>
        <v>0.0006944444444444445</v>
      </c>
      <c r="M25">
        <f t="shared" si="8"/>
      </c>
      <c r="N25" s="3"/>
      <c r="O25" s="5"/>
      <c r="P25" s="5">
        <f t="shared" si="1"/>
      </c>
      <c r="Q25" s="6">
        <f t="shared" si="2"/>
      </c>
    </row>
    <row r="26" spans="1:17" ht="12.75" customHeight="1">
      <c r="A26" s="3">
        <f t="shared" si="9"/>
      </c>
      <c r="B26" s="14">
        <f t="shared" si="0"/>
      </c>
      <c r="C26" s="28"/>
      <c r="D26" s="18">
        <f t="shared" si="4"/>
      </c>
      <c r="E26" s="28"/>
      <c r="F26" s="26">
        <f t="shared" si="5"/>
      </c>
      <c r="G26" s="28"/>
      <c r="H26" s="22">
        <f t="shared" si="6"/>
      </c>
      <c r="I26" s="28"/>
      <c r="L26" s="116">
        <f t="shared" si="7"/>
        <v>0.0006944444444444445</v>
      </c>
      <c r="M26">
        <f t="shared" si="8"/>
      </c>
      <c r="N26" s="3"/>
      <c r="O26" s="5"/>
      <c r="P26" s="5">
        <f t="shared" si="1"/>
      </c>
      <c r="Q26" s="6">
        <f t="shared" si="2"/>
      </c>
    </row>
    <row r="27" spans="1:17" ht="12.75" customHeight="1">
      <c r="A27" s="3">
        <f t="shared" si="9"/>
      </c>
      <c r="B27" s="14">
        <f t="shared" si="0"/>
      </c>
      <c r="C27" s="28"/>
      <c r="D27" s="18">
        <f t="shared" si="4"/>
      </c>
      <c r="E27" s="28"/>
      <c r="F27" s="26">
        <f t="shared" si="5"/>
      </c>
      <c r="G27" s="28"/>
      <c r="H27" s="22">
        <f t="shared" si="6"/>
      </c>
      <c r="I27" s="28"/>
      <c r="L27" s="116">
        <f t="shared" si="7"/>
        <v>0.0006944444444444445</v>
      </c>
      <c r="M27">
        <f t="shared" si="8"/>
      </c>
      <c r="N27" s="3"/>
      <c r="O27" s="5"/>
      <c r="P27" s="5">
        <f t="shared" si="1"/>
      </c>
      <c r="Q27" s="6">
        <f t="shared" si="2"/>
      </c>
    </row>
    <row r="28" spans="1:17" ht="12.75" customHeight="1">
      <c r="A28" s="3">
        <f t="shared" si="9"/>
      </c>
      <c r="B28" s="14">
        <f t="shared" si="0"/>
      </c>
      <c r="C28" s="28"/>
      <c r="D28" s="18">
        <f t="shared" si="4"/>
      </c>
      <c r="E28" s="28"/>
      <c r="F28" s="26">
        <f t="shared" si="5"/>
      </c>
      <c r="G28" s="28"/>
      <c r="H28" s="22">
        <f t="shared" si="6"/>
      </c>
      <c r="I28" s="28"/>
      <c r="L28" s="116">
        <f t="shared" si="7"/>
        <v>0.0006944444444444445</v>
      </c>
      <c r="M28">
        <f t="shared" si="8"/>
      </c>
      <c r="N28" s="3"/>
      <c r="O28" s="5"/>
      <c r="P28" s="5">
        <f t="shared" si="1"/>
      </c>
      <c r="Q28" s="6">
        <f t="shared" si="2"/>
      </c>
    </row>
    <row r="29" spans="1:17" ht="12.75" customHeight="1">
      <c r="A29" s="3">
        <f t="shared" si="9"/>
      </c>
      <c r="B29" s="14">
        <f t="shared" si="0"/>
      </c>
      <c r="C29" s="28"/>
      <c r="D29" s="18">
        <f t="shared" si="4"/>
      </c>
      <c r="E29" s="28"/>
      <c r="F29" s="26">
        <f t="shared" si="5"/>
      </c>
      <c r="G29" s="28"/>
      <c r="H29" s="22">
        <f t="shared" si="6"/>
      </c>
      <c r="I29" s="28"/>
      <c r="L29" s="116">
        <f t="shared" si="7"/>
        <v>0.0006944444444444445</v>
      </c>
      <c r="M29">
        <f t="shared" si="8"/>
      </c>
      <c r="N29" s="3"/>
      <c r="O29" s="5"/>
      <c r="P29" s="5">
        <f t="shared" si="1"/>
      </c>
      <c r="Q29" s="6">
        <f t="shared" si="2"/>
      </c>
    </row>
    <row r="30" spans="1:17" ht="12.75" customHeight="1">
      <c r="A30" s="3">
        <f t="shared" si="9"/>
      </c>
      <c r="B30" s="14">
        <f t="shared" si="0"/>
      </c>
      <c r="C30" s="28"/>
      <c r="D30" s="18">
        <f t="shared" si="4"/>
      </c>
      <c r="E30" s="28"/>
      <c r="F30" s="26">
        <f t="shared" si="5"/>
      </c>
      <c r="G30" s="28"/>
      <c r="H30" s="22">
        <f t="shared" si="6"/>
      </c>
      <c r="I30" s="28"/>
      <c r="L30" s="116">
        <f t="shared" si="7"/>
        <v>0.0006944444444444445</v>
      </c>
      <c r="M30">
        <f t="shared" si="8"/>
      </c>
      <c r="N30" s="3"/>
      <c r="O30" s="5"/>
      <c r="P30" s="5">
        <f t="shared" si="1"/>
      </c>
      <c r="Q30" s="6">
        <f t="shared" si="2"/>
      </c>
    </row>
    <row r="31" spans="1:17" ht="12.75" customHeight="1">
      <c r="A31" s="3">
        <f t="shared" si="9"/>
      </c>
      <c r="B31" s="14">
        <f t="shared" si="0"/>
      </c>
      <c r="C31" s="28"/>
      <c r="D31" s="18">
        <f t="shared" si="4"/>
      </c>
      <c r="E31" s="28"/>
      <c r="F31" s="26">
        <f t="shared" si="5"/>
      </c>
      <c r="G31" s="28"/>
      <c r="H31" s="22">
        <f t="shared" si="6"/>
      </c>
      <c r="I31" s="28"/>
      <c r="L31" s="116">
        <f t="shared" si="7"/>
        <v>0.0006944444444444445</v>
      </c>
      <c r="M31">
        <f t="shared" si="8"/>
      </c>
      <c r="N31" s="3"/>
      <c r="O31" s="5"/>
      <c r="P31" s="5">
        <f t="shared" si="1"/>
      </c>
      <c r="Q31" s="6">
        <f t="shared" si="2"/>
      </c>
    </row>
    <row r="32" spans="1:17" ht="12.75" customHeight="1">
      <c r="A32" s="3">
        <f t="shared" si="9"/>
      </c>
      <c r="B32" s="14">
        <f t="shared" si="0"/>
      </c>
      <c r="C32" s="28"/>
      <c r="D32" s="18">
        <f t="shared" si="4"/>
      </c>
      <c r="E32" s="28"/>
      <c r="F32" s="26">
        <f t="shared" si="5"/>
      </c>
      <c r="G32" s="28"/>
      <c r="H32" s="22">
        <f t="shared" si="6"/>
      </c>
      <c r="I32" s="28"/>
      <c r="L32" s="116">
        <f t="shared" si="7"/>
        <v>0.0006944444444444445</v>
      </c>
      <c r="M32">
        <f t="shared" si="8"/>
      </c>
      <c r="N32" s="3"/>
      <c r="O32" s="5"/>
      <c r="P32" s="5">
        <f t="shared" si="1"/>
      </c>
      <c r="Q32" s="6">
        <f t="shared" si="2"/>
      </c>
    </row>
    <row r="33" ht="12.75" customHeight="1">
      <c r="P33" t="s">
        <v>41</v>
      </c>
    </row>
    <row r="34" spans="1:9" ht="12.75">
      <c r="A34" s="9"/>
      <c r="B34" s="9"/>
      <c r="C34" s="9"/>
      <c r="D34" s="9"/>
      <c r="E34" s="9"/>
      <c r="F34" s="9"/>
      <c r="I34" t="s">
        <v>41</v>
      </c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ht="12.75">
      <c r="A38" s="9"/>
      <c r="B38" s="9"/>
      <c r="C38" s="9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</sheetData>
  <sheetProtection selectLockedCells="1"/>
  <mergeCells count="5">
    <mergeCell ref="P1:Q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FFFFFF"/>
  </sheetPr>
  <dimension ref="A1:M30"/>
  <sheetViews>
    <sheetView workbookViewId="0" topLeftCell="A11">
      <selection activeCell="A2" sqref="A2:K30"/>
    </sheetView>
  </sheetViews>
  <sheetFormatPr defaultColWidth="9.140625" defaultRowHeight="12.75"/>
  <cols>
    <col min="14" max="14" width="15.00390625" style="0" customWidth="1"/>
    <col min="15" max="15" width="9.140625" style="60" customWidth="1"/>
  </cols>
  <sheetData>
    <row r="1" spans="1:13" ht="12.75">
      <c r="A1" s="44" t="s">
        <v>3</v>
      </c>
      <c r="B1" s="44" t="s">
        <v>1</v>
      </c>
      <c r="C1" s="1" t="s">
        <v>14</v>
      </c>
      <c r="D1" s="1"/>
      <c r="E1" s="31" t="s">
        <v>51</v>
      </c>
      <c r="F1" s="31" t="s">
        <v>52</v>
      </c>
      <c r="G1" s="45" t="s">
        <v>102</v>
      </c>
      <c r="H1" s="52" t="s">
        <v>110</v>
      </c>
      <c r="I1" s="1" t="s">
        <v>113</v>
      </c>
      <c r="J1" s="52" t="s">
        <v>114</v>
      </c>
      <c r="K1" s="44" t="s">
        <v>116</v>
      </c>
      <c r="L1" s="52"/>
      <c r="M1" s="37"/>
    </row>
    <row r="2" spans="1:13" ht="12.75">
      <c r="A2" s="3" t="s">
        <v>5</v>
      </c>
      <c r="B2" s="3" t="s">
        <v>26</v>
      </c>
      <c r="C2" s="63">
        <f>SUM(E2:M2)</f>
        <v>124</v>
      </c>
      <c r="D2" s="63"/>
      <c r="E2" s="63">
        <v>24</v>
      </c>
      <c r="F2" s="68">
        <v>18</v>
      </c>
      <c r="G2" s="73">
        <v>22</v>
      </c>
      <c r="H2" s="73">
        <v>21</v>
      </c>
      <c r="I2" s="63"/>
      <c r="J2" s="69">
        <v>16</v>
      </c>
      <c r="K2" s="68">
        <v>23</v>
      </c>
      <c r="L2" s="69"/>
      <c r="M2" s="69"/>
    </row>
    <row r="3" spans="1:13" ht="12.75">
      <c r="A3" s="3" t="s">
        <v>5</v>
      </c>
      <c r="B3" s="3" t="s">
        <v>27</v>
      </c>
      <c r="C3" s="63">
        <f>SUM(E3:M3)</f>
        <v>117</v>
      </c>
      <c r="D3" s="63"/>
      <c r="E3" s="63">
        <v>18</v>
      </c>
      <c r="F3" s="68">
        <v>23</v>
      </c>
      <c r="G3" s="68">
        <v>18</v>
      </c>
      <c r="H3" s="68">
        <v>21</v>
      </c>
      <c r="I3" s="63"/>
      <c r="J3" s="69">
        <v>21</v>
      </c>
      <c r="K3" s="68">
        <v>16</v>
      </c>
      <c r="L3" s="69"/>
      <c r="M3" s="69"/>
    </row>
    <row r="4" spans="1:11" ht="12.75">
      <c r="A4" s="3" t="s">
        <v>5</v>
      </c>
      <c r="B4" s="3" t="s">
        <v>31</v>
      </c>
      <c r="C4" s="63">
        <f>SUM(E4:M4)</f>
        <v>87</v>
      </c>
      <c r="D4" s="63"/>
      <c r="E4" s="63">
        <v>14</v>
      </c>
      <c r="F4" s="68">
        <v>10</v>
      </c>
      <c r="G4" s="68">
        <v>20</v>
      </c>
      <c r="H4" s="5">
        <v>10</v>
      </c>
      <c r="I4" s="3"/>
      <c r="J4">
        <v>14</v>
      </c>
      <c r="K4" s="5">
        <v>19</v>
      </c>
    </row>
    <row r="5" spans="1:11" ht="12.75">
      <c r="A5" s="3" t="s">
        <v>5</v>
      </c>
      <c r="B5" s="3" t="s">
        <v>24</v>
      </c>
      <c r="C5" s="63">
        <f>SUM(E5:M5)</f>
        <v>80</v>
      </c>
      <c r="D5" s="63"/>
      <c r="E5" s="63">
        <v>10</v>
      </c>
      <c r="F5" s="68">
        <v>17</v>
      </c>
      <c r="G5" s="5">
        <v>12</v>
      </c>
      <c r="H5" s="68">
        <v>13</v>
      </c>
      <c r="I5" s="63"/>
      <c r="J5">
        <v>12</v>
      </c>
      <c r="K5" s="5">
        <v>16</v>
      </c>
    </row>
    <row r="6" spans="1:13" ht="12.75">
      <c r="A6" s="3" t="s">
        <v>5</v>
      </c>
      <c r="B6" s="3" t="s">
        <v>38</v>
      </c>
      <c r="C6" s="63">
        <f>SUM(E6:M6)</f>
        <v>69</v>
      </c>
      <c r="D6" s="3"/>
      <c r="E6" s="63"/>
      <c r="F6" s="5">
        <v>16</v>
      </c>
      <c r="G6" s="5">
        <v>15</v>
      </c>
      <c r="H6" s="68">
        <v>13</v>
      </c>
      <c r="I6" s="63"/>
      <c r="J6" s="69">
        <v>14</v>
      </c>
      <c r="K6" s="68">
        <v>11</v>
      </c>
      <c r="L6" s="69"/>
      <c r="M6" s="69"/>
    </row>
    <row r="7" spans="1:13" ht="12.75">
      <c r="A7" s="3" t="s">
        <v>5</v>
      </c>
      <c r="B7" s="3" t="s">
        <v>33</v>
      </c>
      <c r="C7" s="63">
        <f>SUM(E7:M7)</f>
        <v>64</v>
      </c>
      <c r="D7" s="63"/>
      <c r="E7" s="63">
        <v>15</v>
      </c>
      <c r="F7" s="68">
        <v>10</v>
      </c>
      <c r="G7" s="68">
        <v>9</v>
      </c>
      <c r="H7" s="68">
        <v>10</v>
      </c>
      <c r="I7" s="63"/>
      <c r="J7" s="69">
        <v>11</v>
      </c>
      <c r="K7" s="68">
        <v>9</v>
      </c>
      <c r="L7" s="69"/>
      <c r="M7" s="69"/>
    </row>
    <row r="8" spans="1:13" ht="12.75">
      <c r="A8" s="3" t="s">
        <v>5</v>
      </c>
      <c r="B8" s="3" t="s">
        <v>44</v>
      </c>
      <c r="C8" s="63">
        <f>SUM(E8:M8)</f>
        <v>52</v>
      </c>
      <c r="D8" s="3"/>
      <c r="E8" s="63"/>
      <c r="F8" s="5"/>
      <c r="G8" s="5"/>
      <c r="H8" s="5">
        <v>20</v>
      </c>
      <c r="I8" s="3"/>
      <c r="J8">
        <v>19</v>
      </c>
      <c r="K8" s="68">
        <v>13</v>
      </c>
      <c r="L8" s="69"/>
      <c r="M8" s="69"/>
    </row>
    <row r="9" spans="1:13" ht="12.75">
      <c r="A9" s="3" t="s">
        <v>5</v>
      </c>
      <c r="B9" s="3" t="s">
        <v>39</v>
      </c>
      <c r="C9" s="63">
        <f>SUM(E9:M9)</f>
        <v>51</v>
      </c>
      <c r="D9" s="3"/>
      <c r="E9" s="63"/>
      <c r="F9" s="5">
        <v>15</v>
      </c>
      <c r="G9" s="68"/>
      <c r="H9" s="68">
        <v>12</v>
      </c>
      <c r="I9" s="63"/>
      <c r="J9" s="69">
        <v>11</v>
      </c>
      <c r="K9" s="68">
        <v>13</v>
      </c>
      <c r="L9" s="69"/>
      <c r="M9" s="69"/>
    </row>
    <row r="10" spans="1:13" ht="12.75">
      <c r="A10" s="3" t="s">
        <v>5</v>
      </c>
      <c r="B10" s="3" t="s">
        <v>42</v>
      </c>
      <c r="C10" s="63">
        <f>SUM(E10:M10)</f>
        <v>40</v>
      </c>
      <c r="D10" s="63"/>
      <c r="E10" s="63">
        <v>14</v>
      </c>
      <c r="F10" s="68">
        <v>6</v>
      </c>
      <c r="G10" s="68">
        <v>20</v>
      </c>
      <c r="H10" s="5"/>
      <c r="I10" s="3"/>
      <c r="J10" s="69"/>
      <c r="K10" s="68"/>
      <c r="L10" s="69"/>
      <c r="M10" s="69"/>
    </row>
    <row r="11" spans="1:13" ht="12.75">
      <c r="A11" s="3" t="s">
        <v>5</v>
      </c>
      <c r="B11" s="3" t="s">
        <v>35</v>
      </c>
      <c r="C11" s="63">
        <f>SUM(E11:M11)</f>
        <v>36</v>
      </c>
      <c r="D11" s="63"/>
      <c r="E11" s="63">
        <v>17</v>
      </c>
      <c r="F11" s="68">
        <v>9</v>
      </c>
      <c r="G11" s="68">
        <v>10</v>
      </c>
      <c r="H11" s="68"/>
      <c r="I11" s="63"/>
      <c r="J11" s="69"/>
      <c r="K11" s="68"/>
      <c r="L11" s="69"/>
      <c r="M11" s="69"/>
    </row>
    <row r="12" spans="1:11" ht="12.75">
      <c r="A12" s="3" t="s">
        <v>5</v>
      </c>
      <c r="B12" s="3" t="s">
        <v>29</v>
      </c>
      <c r="C12" s="63">
        <f>SUM(E12:M12)</f>
        <v>32</v>
      </c>
      <c r="D12" s="74"/>
      <c r="E12" s="63">
        <v>13</v>
      </c>
      <c r="F12" s="68">
        <v>13</v>
      </c>
      <c r="G12" s="5"/>
      <c r="H12" s="68"/>
      <c r="I12" s="63"/>
      <c r="K12" s="5">
        <v>6</v>
      </c>
    </row>
    <row r="13" spans="1:11" ht="12.75">
      <c r="A13" s="3" t="s">
        <v>5</v>
      </c>
      <c r="B13" s="3" t="s">
        <v>43</v>
      </c>
      <c r="C13" s="63">
        <f>SUM(E13:M13)</f>
        <v>29</v>
      </c>
      <c r="D13" s="3"/>
      <c r="E13" s="63"/>
      <c r="F13" s="5">
        <v>18</v>
      </c>
      <c r="G13" s="68">
        <v>11</v>
      </c>
      <c r="H13" s="68"/>
      <c r="I13" s="63"/>
      <c r="J13" s="69"/>
      <c r="K13" s="5"/>
    </row>
    <row r="14" spans="1:13" ht="12.75">
      <c r="A14" s="3" t="s">
        <v>5</v>
      </c>
      <c r="B14" s="3" t="s">
        <v>108</v>
      </c>
      <c r="C14" s="63">
        <f>SUM(E14:M14)</f>
        <v>24</v>
      </c>
      <c r="D14" s="3"/>
      <c r="E14" s="63"/>
      <c r="F14" s="5"/>
      <c r="G14" s="5"/>
      <c r="H14" s="5">
        <v>9</v>
      </c>
      <c r="I14" s="3"/>
      <c r="J14" s="69"/>
      <c r="K14" s="68">
        <v>15</v>
      </c>
      <c r="L14" s="69"/>
      <c r="M14" s="69"/>
    </row>
    <row r="15" spans="1:11" ht="12.75">
      <c r="A15" s="3" t="s">
        <v>5</v>
      </c>
      <c r="B15" s="3" t="s">
        <v>53</v>
      </c>
      <c r="C15" s="63">
        <f>SUM(E15:M15)</f>
        <v>19</v>
      </c>
      <c r="D15" s="63"/>
      <c r="E15" s="63">
        <v>10</v>
      </c>
      <c r="F15" s="68"/>
      <c r="G15" s="5"/>
      <c r="H15" s="5"/>
      <c r="I15" s="3"/>
      <c r="J15" s="69">
        <v>9</v>
      </c>
      <c r="K15" s="68"/>
    </row>
    <row r="16" spans="1:11" ht="12.75">
      <c r="A16" s="3" t="s">
        <v>5</v>
      </c>
      <c r="B16" s="3" t="s">
        <v>54</v>
      </c>
      <c r="C16" s="63">
        <f>SUM(E16:M16)</f>
        <v>17</v>
      </c>
      <c r="D16" s="63"/>
      <c r="E16" s="63">
        <v>17</v>
      </c>
      <c r="F16" s="68"/>
      <c r="G16" s="68"/>
      <c r="H16" s="5"/>
      <c r="I16" s="3"/>
      <c r="J16" s="69"/>
      <c r="K16" s="5"/>
    </row>
    <row r="17" spans="1:11" ht="12.75">
      <c r="A17" s="3" t="s">
        <v>5</v>
      </c>
      <c r="B17" s="3" t="s">
        <v>32</v>
      </c>
      <c r="C17" s="63">
        <f>SUM(E17:M17)</f>
        <v>17</v>
      </c>
      <c r="D17" s="63"/>
      <c r="E17" s="63">
        <v>12</v>
      </c>
      <c r="F17" s="68">
        <v>5</v>
      </c>
      <c r="G17" s="5"/>
      <c r="H17" s="5"/>
      <c r="I17" s="3"/>
      <c r="K17" s="5"/>
    </row>
    <row r="18" spans="1:11" ht="12.75">
      <c r="A18" t="s">
        <v>5</v>
      </c>
      <c r="B18" s="3" t="s">
        <v>107</v>
      </c>
      <c r="C18" s="63">
        <f>SUM(E18:M18)</f>
        <v>16</v>
      </c>
      <c r="E18" s="63"/>
      <c r="G18" s="5"/>
      <c r="H18" s="5">
        <v>16</v>
      </c>
      <c r="I18" s="3"/>
      <c r="K18" s="5"/>
    </row>
    <row r="19" spans="1:13" ht="12.75">
      <c r="A19" t="s">
        <v>5</v>
      </c>
      <c r="B19" s="3" t="s">
        <v>115</v>
      </c>
      <c r="C19" s="63">
        <f>SUM(E19:M19)</f>
        <v>16</v>
      </c>
      <c r="E19" s="63"/>
      <c r="G19" s="5"/>
      <c r="H19" s="5"/>
      <c r="I19" s="3"/>
      <c r="J19">
        <v>8</v>
      </c>
      <c r="K19" s="5">
        <v>8</v>
      </c>
      <c r="L19" s="69"/>
      <c r="M19" s="69"/>
    </row>
    <row r="20" spans="1:13" ht="12.75">
      <c r="A20" t="s">
        <v>5</v>
      </c>
      <c r="B20" s="3" t="s">
        <v>30</v>
      </c>
      <c r="C20" s="63">
        <f>SUM(E20:M20)</f>
        <v>15</v>
      </c>
      <c r="D20" s="69"/>
      <c r="E20" s="63">
        <v>6</v>
      </c>
      <c r="F20" s="69">
        <v>4</v>
      </c>
      <c r="G20" s="5"/>
      <c r="H20" s="5"/>
      <c r="I20" s="3"/>
      <c r="K20" s="68">
        <v>5</v>
      </c>
      <c r="L20" s="69"/>
      <c r="M20" s="69"/>
    </row>
    <row r="21" spans="1:11" ht="12.75">
      <c r="A21" t="s">
        <v>5</v>
      </c>
      <c r="B21" s="3" t="s">
        <v>36</v>
      </c>
      <c r="C21" s="63">
        <f>SUM(E21:M21)</f>
        <v>11</v>
      </c>
      <c r="E21" s="63"/>
      <c r="F21">
        <v>11</v>
      </c>
      <c r="G21" s="5"/>
      <c r="H21" s="5"/>
      <c r="I21" s="3"/>
      <c r="K21" s="5"/>
    </row>
    <row r="22" spans="1:11" ht="12.75">
      <c r="A22" t="s">
        <v>5</v>
      </c>
      <c r="B22" s="3" t="s">
        <v>111</v>
      </c>
      <c r="C22" s="63">
        <f>SUM(E22:M22)</f>
        <v>8</v>
      </c>
      <c r="E22" s="63"/>
      <c r="G22" s="5"/>
      <c r="H22" s="5"/>
      <c r="I22" s="3"/>
      <c r="K22" s="5">
        <v>8</v>
      </c>
    </row>
    <row r="23" spans="1:13" ht="12.75">
      <c r="A23" t="s">
        <v>5</v>
      </c>
      <c r="B23" s="3" t="s">
        <v>34</v>
      </c>
      <c r="C23" s="63">
        <f>SUM(E23:M23)</f>
        <v>5</v>
      </c>
      <c r="E23" s="63"/>
      <c r="F23">
        <v>5</v>
      </c>
      <c r="G23" s="5"/>
      <c r="H23" s="5"/>
      <c r="I23" s="3"/>
      <c r="K23" s="5"/>
      <c r="L23" s="69"/>
      <c r="M23" s="69"/>
    </row>
    <row r="24" spans="1:13" ht="12.75">
      <c r="A24" t="s">
        <v>5</v>
      </c>
      <c r="B24" s="3" t="s">
        <v>37</v>
      </c>
      <c r="C24" s="63">
        <f>SUM(E24:M24)</f>
        <v>2</v>
      </c>
      <c r="E24" s="63"/>
      <c r="F24">
        <v>2</v>
      </c>
      <c r="G24" s="68"/>
      <c r="H24" s="68"/>
      <c r="I24" s="63"/>
      <c r="K24" s="68"/>
      <c r="L24" s="69"/>
      <c r="M24" s="69"/>
    </row>
    <row r="25" spans="1:13" ht="12.75">
      <c r="A25" t="s">
        <v>4</v>
      </c>
      <c r="B25" s="3" t="s">
        <v>10</v>
      </c>
      <c r="C25" s="63">
        <f>SUM(E25:M25)</f>
        <v>141</v>
      </c>
      <c r="E25" s="3">
        <v>24</v>
      </c>
      <c r="F25">
        <v>24</v>
      </c>
      <c r="G25" s="68">
        <v>23</v>
      </c>
      <c r="H25" s="68">
        <v>23</v>
      </c>
      <c r="I25" s="63"/>
      <c r="J25" s="69">
        <v>24</v>
      </c>
      <c r="K25" s="68">
        <v>23</v>
      </c>
      <c r="L25" s="69"/>
      <c r="M25" s="69"/>
    </row>
    <row r="26" spans="1:11" ht="12.75">
      <c r="A26" t="s">
        <v>4</v>
      </c>
      <c r="B26" s="3" t="s">
        <v>9</v>
      </c>
      <c r="C26" s="63">
        <f>SUM(E26:M26)</f>
        <v>101</v>
      </c>
      <c r="D26" s="69"/>
      <c r="E26" s="63">
        <v>20</v>
      </c>
      <c r="F26" s="69">
        <v>15</v>
      </c>
      <c r="G26" s="5">
        <v>17</v>
      </c>
      <c r="H26" s="5">
        <v>17</v>
      </c>
      <c r="I26" s="3"/>
      <c r="J26" s="69">
        <v>18</v>
      </c>
      <c r="K26" s="68">
        <v>14</v>
      </c>
    </row>
    <row r="27" spans="1:11" ht="12.75">
      <c r="A27" t="s">
        <v>4</v>
      </c>
      <c r="B27" s="3" t="s">
        <v>23</v>
      </c>
      <c r="C27" s="63">
        <f>SUM(E27:M27)</f>
        <v>93</v>
      </c>
      <c r="E27" s="3">
        <v>16</v>
      </c>
      <c r="F27">
        <v>14</v>
      </c>
      <c r="G27" s="5">
        <v>15</v>
      </c>
      <c r="H27" s="5">
        <v>14</v>
      </c>
      <c r="I27" s="3"/>
      <c r="J27">
        <v>13</v>
      </c>
      <c r="K27" s="5">
        <v>21</v>
      </c>
    </row>
    <row r="28" spans="1:11" ht="12.75">
      <c r="A28" t="s">
        <v>4</v>
      </c>
      <c r="B28" s="3" t="s">
        <v>28</v>
      </c>
      <c r="C28" s="63">
        <f>SUM(E28:M28)</f>
        <v>91</v>
      </c>
      <c r="D28" s="69"/>
      <c r="E28" s="63">
        <v>15</v>
      </c>
      <c r="F28" s="69">
        <v>13</v>
      </c>
      <c r="G28" s="68">
        <v>14</v>
      </c>
      <c r="H28" s="68">
        <v>16</v>
      </c>
      <c r="I28" s="63"/>
      <c r="J28">
        <v>17</v>
      </c>
      <c r="K28" s="5">
        <v>16</v>
      </c>
    </row>
    <row r="29" spans="1:11" ht="12.75">
      <c r="A29" t="s">
        <v>4</v>
      </c>
      <c r="B29" s="3" t="s">
        <v>25</v>
      </c>
      <c r="C29" s="63">
        <f>SUM(E29:M29)</f>
        <v>82</v>
      </c>
      <c r="E29" s="63"/>
      <c r="F29">
        <v>18</v>
      </c>
      <c r="G29" s="68">
        <v>23</v>
      </c>
      <c r="H29" s="68">
        <v>20</v>
      </c>
      <c r="I29" s="63"/>
      <c r="J29" s="69">
        <v>21</v>
      </c>
      <c r="K29" s="5"/>
    </row>
    <row r="30" spans="1:11" ht="12.75">
      <c r="A30" t="s">
        <v>4</v>
      </c>
      <c r="B30" s="3" t="s">
        <v>40</v>
      </c>
      <c r="C30" s="63">
        <f>SUM(E30:M30)</f>
        <v>20</v>
      </c>
      <c r="E30" s="63"/>
      <c r="F30">
        <v>20</v>
      </c>
      <c r="G30" s="68"/>
      <c r="H30" s="68"/>
      <c r="I30" s="63"/>
      <c r="K30" s="5"/>
    </row>
  </sheetData>
  <sheetProtection select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Burnhams</dc:creator>
  <cp:keywords/>
  <dc:description/>
  <cp:lastModifiedBy>Burnhams</cp:lastModifiedBy>
  <dcterms:created xsi:type="dcterms:W3CDTF">2008-02-08T12:23:48Z</dcterms:created>
  <dcterms:modified xsi:type="dcterms:W3CDTF">2008-08-10T08:21:57Z</dcterms:modified>
  <cp:category/>
  <cp:version/>
  <cp:contentType/>
  <cp:contentStatus/>
</cp:coreProperties>
</file>